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7400" windowHeight="12270" activeTab="1"/>
  </bookViews>
  <sheets>
    <sheet name="Instructions" sheetId="1" r:id="rId1"/>
    <sheet name="Character sheet" sheetId="2" r:id="rId2"/>
    <sheet name="HPs" sheetId="3" r:id="rId3"/>
    <sheet name="Powers" sheetId="4" r:id="rId4"/>
    <sheet name="Talents" sheetId="5" r:id="rId5"/>
  </sheets>
  <definedNames>
    <definedName name="_xlnm.Print_Area" localSheetId="1">'Character sheet'!$A$1:$J$114</definedName>
    <definedName name="_xlnm.Print_Area" localSheetId="0">'Instructions'!$A$1:$S$54</definedName>
  </definedNames>
  <calcPr fullCalcOnLoad="1"/>
</workbook>
</file>

<file path=xl/sharedStrings.xml><?xml version="1.0" encoding="utf-8"?>
<sst xmlns="http://schemas.openxmlformats.org/spreadsheetml/2006/main" count="1748" uniqueCount="1409">
  <si>
    <t>Lower rank -1CS, if the original body disintegrated temporarily. Lower rank -1CS, if hero can create new body from anyt materials.</t>
  </si>
  <si>
    <t>Hero can travel in time to reach any point in the past or future. Time travel device can carry power rank number *100 pounds</t>
  </si>
  <si>
    <t>25 areas</t>
  </si>
  <si>
    <t>1 mile</t>
  </si>
  <si>
    <t>2 miles</t>
  </si>
  <si>
    <t>3 miles</t>
  </si>
  <si>
    <t>6 miles</t>
  </si>
  <si>
    <t>10 miles</t>
  </si>
  <si>
    <t>15 miles</t>
  </si>
  <si>
    <t>30 miles</t>
  </si>
  <si>
    <t>50 miles</t>
  </si>
  <si>
    <t>80 miles</t>
  </si>
  <si>
    <t>150 miles</t>
  </si>
  <si>
    <t>250 miles</t>
  </si>
  <si>
    <t>12 miles</t>
  </si>
  <si>
    <t>25 miles</t>
  </si>
  <si>
    <t>120 miles</t>
  </si>
  <si>
    <t>500 miles</t>
  </si>
  <si>
    <t>1200 miles</t>
  </si>
  <si>
    <t>2500 miles</t>
  </si>
  <si>
    <t>5000 miles</t>
  </si>
  <si>
    <t>12,000 miles</t>
  </si>
  <si>
    <t>250,000 miles</t>
  </si>
  <si>
    <t>10 feet</t>
  </si>
  <si>
    <t>16 areas</t>
  </si>
  <si>
    <t>64 areas</t>
  </si>
  <si>
    <t>1000 miles</t>
  </si>
  <si>
    <t>4000 miles</t>
  </si>
  <si>
    <t>16,000 miles</t>
  </si>
  <si>
    <t>64,000 miles</t>
  </si>
  <si>
    <t>1 million miles</t>
  </si>
  <si>
    <t>4 million miles</t>
  </si>
  <si>
    <t>16 million miles</t>
  </si>
  <si>
    <t>64 million miles</t>
  </si>
  <si>
    <t>25,000 miles</t>
  </si>
  <si>
    <t>2,5 million miles</t>
  </si>
  <si>
    <t>EE-location</t>
  </si>
  <si>
    <t>add. rank</t>
  </si>
  <si>
    <t>entire body</t>
  </si>
  <si>
    <t>head</t>
  </si>
  <si>
    <t>mouth/nose</t>
  </si>
  <si>
    <t>torso</t>
  </si>
  <si>
    <t>arms</t>
  </si>
  <si>
    <t>hands</t>
  </si>
  <si>
    <t>fingers</t>
  </si>
  <si>
    <t>legs</t>
  </si>
  <si>
    <t>feet</t>
  </si>
  <si>
    <t>wings</t>
  </si>
  <si>
    <t>antennae/horns</t>
  </si>
  <si>
    <t>tail</t>
  </si>
  <si>
    <t>any location</t>
  </si>
  <si>
    <t>Result</t>
  </si>
  <si>
    <t>25 million miles</t>
  </si>
  <si>
    <t>250 million miles</t>
  </si>
  <si>
    <t>2,5 billion miles</t>
  </si>
  <si>
    <t>25 billion miles</t>
  </si>
  <si>
    <t>250 billion miles</t>
  </si>
  <si>
    <t>1/2 light year</t>
  </si>
  <si>
    <t>5 light years</t>
  </si>
  <si>
    <t>50 light years</t>
  </si>
  <si>
    <t>500 light years</t>
  </si>
  <si>
    <t>Microscopic v.</t>
  </si>
  <si>
    <t>Weakness det.</t>
  </si>
  <si>
    <t>physical</t>
  </si>
  <si>
    <t>Mental control/females</t>
  </si>
  <si>
    <t>D</t>
  </si>
  <si>
    <t>DT</t>
  </si>
  <si>
    <t>EC</t>
  </si>
  <si>
    <t>EE</t>
  </si>
  <si>
    <t>L</t>
  </si>
  <si>
    <t>MG</t>
  </si>
  <si>
    <t>MC</t>
  </si>
  <si>
    <t>MCr</t>
  </si>
  <si>
    <t>MCo</t>
  </si>
  <si>
    <t>M</t>
  </si>
  <si>
    <t>PC</t>
  </si>
  <si>
    <t>T</t>
  </si>
  <si>
    <t>Strength +1CS in grapling, escaping, Agility +1CS in dodging</t>
  </si>
  <si>
    <t>Initiative +1CS in unarmed combat</t>
  </si>
  <si>
    <t>Auto-stun/slam regardless of opponents strenght &amp; endurance</t>
  </si>
  <si>
    <t>Fighting +1CS in unarmed combat</t>
  </si>
  <si>
    <t>Agility +1CS when shooting with guns</t>
  </si>
  <si>
    <t>Agility +1CS when using throwning weapons</t>
  </si>
  <si>
    <t>Agility +1CS when using bows or crossbows</t>
  </si>
  <si>
    <t>Fighting +1CS when using blunt weapons</t>
  </si>
  <si>
    <t>Fighting +1CS when using sharp weapons</t>
  </si>
  <si>
    <t>Fighting and Agility +1CS when using oriental weapons</t>
  </si>
  <si>
    <t>Agility +1CS when shooting or throwing, no range penalties</t>
  </si>
  <si>
    <t>Fighting +1CS when fighting with any weapon</t>
  </si>
  <si>
    <t>Fighting +2CS when fighting with a designated weapon</t>
  </si>
  <si>
    <t>Ignore body armor for slam&amp;stun, comes in to effect after two rounds of combat</t>
  </si>
  <si>
    <t>Strength +2C in grapling attacks (no benefit in damage)</t>
  </si>
  <si>
    <t>Agility +1CS in throwing and catching</t>
  </si>
  <si>
    <t>Agility FEAT to check if hero falls on his feet &amp; ready</t>
  </si>
  <si>
    <t>Healing &amp; restoring Endurance, Reason +1CS in medical feats</t>
  </si>
  <si>
    <t>Law &amp; Guns: Reason Good/w/Law, Agility +1CS with guns</t>
  </si>
  <si>
    <t>Weight modifier</t>
  </si>
  <si>
    <t>Slender</t>
  </si>
  <si>
    <t>Average</t>
  </si>
  <si>
    <t>Muscular</t>
  </si>
  <si>
    <t>5'0"</t>
  </si>
  <si>
    <t>5'1"</t>
  </si>
  <si>
    <t>5'2"</t>
  </si>
  <si>
    <t>5'3"</t>
  </si>
  <si>
    <t>5'4"</t>
  </si>
  <si>
    <t>5'5"</t>
  </si>
  <si>
    <t>5'6"</t>
  </si>
  <si>
    <t>5'7"</t>
  </si>
  <si>
    <t>5'8"</t>
  </si>
  <si>
    <t>5'9"</t>
  </si>
  <si>
    <t>5'10"</t>
  </si>
  <si>
    <t>5'11"</t>
  </si>
  <si>
    <t>6'0"</t>
  </si>
  <si>
    <t>6'1"</t>
  </si>
  <si>
    <t>6'2"</t>
  </si>
  <si>
    <t>6'3"</t>
  </si>
  <si>
    <t>6'4"</t>
  </si>
  <si>
    <t>6'5"</t>
  </si>
  <si>
    <t>6'6"</t>
  </si>
  <si>
    <t>6'7"</t>
  </si>
  <si>
    <t>6'8"</t>
  </si>
  <si>
    <t>6'9"</t>
  </si>
  <si>
    <t>6'10"</t>
  </si>
  <si>
    <t>6'11"</t>
  </si>
  <si>
    <t>7'0"</t>
  </si>
  <si>
    <t>Body type</t>
  </si>
  <si>
    <t>character</t>
  </si>
  <si>
    <t>body</t>
  </si>
  <si>
    <t>height</t>
  </si>
  <si>
    <t>type no.</t>
  </si>
  <si>
    <t>Init. weight</t>
  </si>
  <si>
    <t>strength mod.</t>
  </si>
  <si>
    <t>Resources</t>
  </si>
  <si>
    <t>popularity</t>
  </si>
  <si>
    <t>fighting</t>
  </si>
  <si>
    <t>agility</t>
  </si>
  <si>
    <t>strength</t>
  </si>
  <si>
    <t>endurance</t>
  </si>
  <si>
    <t>reason</t>
  </si>
  <si>
    <t>intuition</t>
  </si>
  <si>
    <t>psyche</t>
  </si>
  <si>
    <t>resources</t>
  </si>
  <si>
    <t>char. modifier</t>
  </si>
  <si>
    <t>Mutation due accident</t>
  </si>
  <si>
    <t>Child of mutant parents, must have atleast 1 contact</t>
  </si>
  <si>
    <t>Heal twice as fast</t>
  </si>
  <si>
    <t>Kicking +1CS damage</t>
  </si>
  <si>
    <t>Initial popularity zero, slow popularity generation</t>
  </si>
  <si>
    <t>Climbing +1CS</t>
  </si>
  <si>
    <t>Sense of smell</t>
  </si>
  <si>
    <t>Winged flight</t>
  </si>
  <si>
    <t>Popularity never drops below original</t>
  </si>
  <si>
    <t>Initial popularity zero, Strength +1CS in escaping</t>
  </si>
  <si>
    <t>Movement on dry land is limited</t>
  </si>
  <si>
    <t>eyes</t>
  </si>
  <si>
    <t>hair</t>
  </si>
  <si>
    <t>age</t>
  </si>
  <si>
    <t xml:space="preserve">Body type: </t>
  </si>
  <si>
    <t xml:space="preserve">Weight: </t>
  </si>
  <si>
    <t xml:space="preserve">Height: </t>
  </si>
  <si>
    <t xml:space="preserve">Eyes: </t>
  </si>
  <si>
    <t xml:space="preserve">Hair: </t>
  </si>
  <si>
    <t xml:space="preserve">Age: </t>
  </si>
  <si>
    <t>Body height</t>
  </si>
  <si>
    <t>Body weight</t>
  </si>
  <si>
    <t>Eyes</t>
  </si>
  <si>
    <t>Blue</t>
  </si>
  <si>
    <t>Green</t>
  </si>
  <si>
    <t>Brown</t>
  </si>
  <si>
    <t>Gray</t>
  </si>
  <si>
    <t>Black</t>
  </si>
  <si>
    <t>Crimson</t>
  </si>
  <si>
    <t>Purple</t>
  </si>
  <si>
    <t>Hair</t>
  </si>
  <si>
    <t>Blond</t>
  </si>
  <si>
    <t>Red</t>
  </si>
  <si>
    <t>White</t>
  </si>
  <si>
    <t>Age</t>
  </si>
  <si>
    <t>origin</t>
  </si>
  <si>
    <t>Origin</t>
  </si>
  <si>
    <t>From birth</t>
  </si>
  <si>
    <t>Maturity</t>
  </si>
  <si>
    <t>Self-achievement</t>
  </si>
  <si>
    <t>Endownment</t>
  </si>
  <si>
    <t>Technical mishap</t>
  </si>
  <si>
    <t>Tecnhical procedure</t>
  </si>
  <si>
    <t>Biological exposure</t>
  </si>
  <si>
    <t>Chemical exposure</t>
  </si>
  <si>
    <t>Energy exposure</t>
  </si>
  <si>
    <t>Rebirth</t>
  </si>
  <si>
    <t>Spontaneous mutation</t>
  </si>
  <si>
    <t>Superpowers determine what parts are artificial</t>
  </si>
  <si>
    <t>Suit of power armor</t>
  </si>
  <si>
    <t>Monstrous resistance to disease &amp; poisons, vunerable to magnetics &amp; rust, start with 1 contact</t>
  </si>
  <si>
    <t>Initial resources optionally good</t>
  </si>
  <si>
    <t>These stats are for original form, roll additional stats for secondary form</t>
  </si>
  <si>
    <t>Decreased (-1CS) resistance electical, magnetic and phasing attacks</t>
  </si>
  <si>
    <t>Popularity for angels +2CS, for demons -2CS, different additional powers</t>
  </si>
  <si>
    <t>Automatically have at least one Travel power</t>
  </si>
  <si>
    <t>Automatically two detection powers with Good rank, resources zero</t>
  </si>
  <si>
    <t>Absorption (photosynthesis)</t>
  </si>
  <si>
    <t>Key-elements of the body chemistry are replaced.</t>
  </si>
  <si>
    <t>Movement rate -1CS, initial health is doubled</t>
  </si>
  <si>
    <t>Enery emission</t>
  </si>
  <si>
    <t>Psychological weakness: Powers negated when within 10' of religious symbol</t>
  </si>
  <si>
    <t>Weakness stimulus</t>
  </si>
  <si>
    <t>Psychological</t>
  </si>
  <si>
    <t>Elemental allergy</t>
  </si>
  <si>
    <t>Molecular allergy</t>
  </si>
  <si>
    <t>Energy allergy</t>
  </si>
  <si>
    <t>Energy depletion</t>
  </si>
  <si>
    <t>Energy dampening</t>
  </si>
  <si>
    <t>Finite limit</t>
  </si>
  <si>
    <t>Effect</t>
  </si>
  <si>
    <t>Power negation</t>
  </si>
  <si>
    <t>Incapacitation</t>
  </si>
  <si>
    <t>Fatal</t>
  </si>
  <si>
    <t>Duration</t>
  </si>
  <si>
    <t>Continuous with contact</t>
  </si>
  <si>
    <t>Limited duration with contact</t>
  </si>
  <si>
    <t>Limited duration after contact</t>
  </si>
  <si>
    <t>Permanent</t>
  </si>
  <si>
    <t>weakness:</t>
  </si>
  <si>
    <t>Stimulus</t>
  </si>
  <si>
    <t xml:space="preserve">Origin: </t>
  </si>
  <si>
    <t xml:space="preserve">Stimuli: </t>
  </si>
  <si>
    <t xml:space="preserve">Effect: </t>
  </si>
  <si>
    <t xml:space="preserve">Duration: </t>
  </si>
  <si>
    <t>Cyborg, mech. augmented</t>
  </si>
  <si>
    <t xml:space="preserve">Character physical form: </t>
  </si>
  <si>
    <t>Political:local</t>
  </si>
  <si>
    <t>Political:state</t>
  </si>
  <si>
    <t>Political:national</t>
  </si>
  <si>
    <t>Political:other nation</t>
  </si>
  <si>
    <t>Political:international</t>
  </si>
  <si>
    <t>Political:planetary</t>
  </si>
  <si>
    <t xml:space="preserve">Pro: medicine </t>
  </si>
  <si>
    <t>Pro: law</t>
  </si>
  <si>
    <t>Pro: law-Enforcement</t>
  </si>
  <si>
    <t>Pro: military</t>
  </si>
  <si>
    <t>Pro: business world</t>
  </si>
  <si>
    <t>Pro: journalism</t>
  </si>
  <si>
    <t>Pro: crime</t>
  </si>
  <si>
    <t>Pro: engineering</t>
  </si>
  <si>
    <t>Pro: psychiatry</t>
  </si>
  <si>
    <t>Pro: detective/espionage</t>
  </si>
  <si>
    <t>Pro: hero group</t>
  </si>
  <si>
    <t>Pro: artist/performer</t>
  </si>
  <si>
    <t>Science: chemistry</t>
  </si>
  <si>
    <t>Science: biology</t>
  </si>
  <si>
    <t>Science: geology</t>
  </si>
  <si>
    <t>Science: genetics</t>
  </si>
  <si>
    <t>Science: archeology</t>
  </si>
  <si>
    <t>Science: physics</t>
  </si>
  <si>
    <t>Science: computers</t>
  </si>
  <si>
    <t>Science: electronics</t>
  </si>
  <si>
    <t>Mystic: occult lore</t>
  </si>
  <si>
    <t>Mystic: mythology</t>
  </si>
  <si>
    <t>contacts</t>
  </si>
  <si>
    <t>contact no.</t>
  </si>
  <si>
    <t>Medical advice and services either free or with discount</t>
  </si>
  <si>
    <t>Legal assistance for a reduced fee and legal advice for free</t>
  </si>
  <si>
    <t>Contact in the police/detective forces - they may ask for help</t>
  </si>
  <si>
    <t>Resources available at incredible level</t>
  </si>
  <si>
    <t>May provide amazing resources (at maximum)</t>
  </si>
  <si>
    <t>Hero can surround his body with an energy field. Vunerable to sheat type energy control and conversion (-2CS).</t>
  </si>
  <si>
    <t>Powers may be evo-stage-dependant.. Caveman has Ty tracking &amp; Fe RIP, big brain has Ty TK, true flight &amp; Fe FASE.</t>
  </si>
  <si>
    <t>Hero can change his superficial appearence (including skin &amp; hair color) but cannot alter his basic form or dimensions.</t>
  </si>
  <si>
    <t>+1CS protection vs. edge attacks, vunerable to gateway, dimens. travel, teleport and power-affecting powers (+2CS to attacker).</t>
  </si>
  <si>
    <t>Hero can alter his appearence, form and dimensions to appear as any desired animal form.</t>
  </si>
  <si>
    <t>Hero can alter his appearence, form and dimensions to appear as any desired human or humanoid shape.</t>
  </si>
  <si>
    <t>Invisibility is one of the follwing type: Physic, Telepathic, Hallucinatory or Holographic.</t>
  </si>
  <si>
    <t>Raise rank +1CS by making the effect permanent. At rank 100 hero becomes weightless.</t>
  </si>
  <si>
    <t>Hero can increase his bodymass. Hero may use power rank instead Strength when determining charging damage.</t>
  </si>
  <si>
    <t>Raise rank +1CS by not being able to scramble electronics. Max duration depends on how long hero can hold his breath.</t>
  </si>
  <si>
    <t>Hero is a combination of two individuals (roll ranks). Contact between the individuals is required for the Gestalt to happen.</t>
  </si>
  <si>
    <t>Hero can duplicate the natural abilities of any plant (e.g. photosynthesis, fragrance, rooting, poison touch).</t>
  </si>
  <si>
    <t>Hero can can twist, bend, pull, stretch or otherwise distort his body’s shape into any form.</t>
  </si>
  <si>
    <t>Prh.hair actions</t>
  </si>
  <si>
    <t>Str./Agi adj.</t>
  </si>
  <si>
    <t>none</t>
  </si>
  <si>
    <t>-1CS</t>
  </si>
  <si>
    <t>-2CS</t>
  </si>
  <si>
    <t>Hair range</t>
  </si>
  <si>
    <t>20 feet</t>
  </si>
  <si>
    <t>25 feet</t>
  </si>
  <si>
    <t>30 feet</t>
  </si>
  <si>
    <t>35 feet</t>
  </si>
  <si>
    <t>40 feet</t>
  </si>
  <si>
    <t>45 feet</t>
  </si>
  <si>
    <t>50 feet</t>
  </si>
  <si>
    <t>55 feet</t>
  </si>
  <si>
    <t>60 feet</t>
  </si>
  <si>
    <t>Hero can create duplicates of himself, who are aware of others actions, and who have the same powers as the hero.</t>
  </si>
  <si>
    <t>Fe</t>
  </si>
  <si>
    <t>Pr</t>
  </si>
  <si>
    <t>Ty</t>
  </si>
  <si>
    <t>Gd</t>
  </si>
  <si>
    <t>Ex</t>
  </si>
  <si>
    <t>Rm</t>
  </si>
  <si>
    <t>In</t>
  </si>
  <si>
    <t>Am</t>
  </si>
  <si>
    <t>Mn</t>
  </si>
  <si>
    <t>Un</t>
  </si>
  <si>
    <t>X</t>
  </si>
  <si>
    <t>Y</t>
  </si>
  <si>
    <t>Z</t>
  </si>
  <si>
    <t>CL1</t>
  </si>
  <si>
    <t>CL3</t>
  </si>
  <si>
    <t>CL5</t>
  </si>
  <si>
    <t>In plant form hero does not require normal food. Mental abilities remain unchanged.</t>
  </si>
  <si>
    <t>Raise rank +1CS by limiting the variety of possible forms which can be changed into.</t>
  </si>
  <si>
    <t>Hero can transform into a heroic alter-ego by joining his mind and body with one or more spirits.</t>
  </si>
  <si>
    <t xml:space="preserve">The hero can reduce his body to a flat, twodimensional version. </t>
  </si>
  <si>
    <t>FEAT's: green = paper thin, yellow = atom thin (penetrate barriers +5CS material strength), red = no thickness at all</t>
  </si>
  <si>
    <t>Space/extradim</t>
  </si>
  <si>
    <t>10,000</t>
  </si>
  <si>
    <t>20,000</t>
  </si>
  <si>
    <t>40,000</t>
  </si>
  <si>
    <t>80,000</t>
  </si>
  <si>
    <t>150,000</t>
  </si>
  <si>
    <t>300,000</t>
  </si>
  <si>
    <t>1,000,000</t>
  </si>
  <si>
    <t>Hero can send his astral form off to any destination. If contact lost, physical body loses 1 hp/hour.</t>
  </si>
  <si>
    <t>Hero can manipulate energy currents to supports and propel his body, thus attaining a form of flight.</t>
  </si>
  <si>
    <t>Weight</t>
  </si>
  <si>
    <t>50 lbs</t>
  </si>
  <si>
    <t>100 lbs</t>
  </si>
  <si>
    <t>200 lbs</t>
  </si>
  <si>
    <t>400 lbs</t>
  </si>
  <si>
    <t>800 lbs</t>
  </si>
  <si>
    <t>1 ton</t>
  </si>
  <si>
    <t>10 tons</t>
  </si>
  <si>
    <t>50 tons</t>
  </si>
  <si>
    <t>80 tons</t>
  </si>
  <si>
    <t>100 tons</t>
  </si>
  <si>
    <t>150 tons</t>
  </si>
  <si>
    <t>500 tons</t>
  </si>
  <si>
    <t>1000 tons</t>
  </si>
  <si>
    <t>3000 tons</t>
  </si>
  <si>
    <t>5000 tons</t>
  </si>
  <si>
    <t>300 tons</t>
  </si>
  <si>
    <t>Hero can intially travel into two dimensions, earth and one other.</t>
  </si>
  <si>
    <t>Hero must be within 10' of the current in order to join. Extremely vunerable to energy altering powers.</t>
  </si>
  <si>
    <t>Hero can create a glowing platform of solid light, carrying weight is supported by power feat substituting strength.</t>
  </si>
  <si>
    <t>Hero can travel to any point in space, time or other dimensions. Gateway size is power rank number in sq-feet.</t>
  </si>
  <si>
    <t>Hero can travel on air currents, and can carry what hero's strength enables.</t>
  </si>
  <si>
    <t>Hero can travel swiftly through the earth. Hero must have either natural weaponry/claws or body resistance power.</t>
  </si>
  <si>
    <t>Leap up/across</t>
  </si>
  <si>
    <t>Leap down</t>
  </si>
  <si>
    <t>4'</t>
  </si>
  <si>
    <t>6'</t>
  </si>
  <si>
    <t>10'</t>
  </si>
  <si>
    <t>20'</t>
  </si>
  <si>
    <t>30'</t>
  </si>
  <si>
    <t>40'</t>
  </si>
  <si>
    <t>50'</t>
  </si>
  <si>
    <t>75'</t>
  </si>
  <si>
    <t>100'</t>
  </si>
  <si>
    <t>1,5 areas</t>
  </si>
  <si>
    <t>0,5 mile</t>
  </si>
  <si>
    <t>9'</t>
  </si>
  <si>
    <t>15'</t>
  </si>
  <si>
    <t>45'</t>
  </si>
  <si>
    <t>60'</t>
  </si>
  <si>
    <t>105'</t>
  </si>
  <si>
    <t>150'</t>
  </si>
  <si>
    <t>2,5 areas</t>
  </si>
  <si>
    <t>0,75 miles</t>
  </si>
  <si>
    <t>1,5 miles</t>
  </si>
  <si>
    <t>Hero can jump great distances. Physical burdens do not have an effect on the leaping.</t>
  </si>
  <si>
    <t>int</t>
  </si>
  <si>
    <t>psy</t>
  </si>
  <si>
    <t>str</t>
  </si>
  <si>
    <t>abil.mods</t>
  </si>
  <si>
    <t>end</t>
  </si>
  <si>
    <t>Poor resources, remarkable knowledge about the field</t>
  </si>
  <si>
    <t>Contact in the criminal underworld, a snitch perhaps</t>
  </si>
  <si>
    <t>Contact may help in the construction of devices</t>
  </si>
  <si>
    <t>Includes doctors devoted to the curing of the criminal mind</t>
  </si>
  <si>
    <t>Espionage agencies may provide information, resources &amp; equipment</t>
  </si>
  <si>
    <t>May use groups contacts, ask help and use their equipment at some level</t>
  </si>
  <si>
    <t>Contact provides information on local matters</t>
  </si>
  <si>
    <t>Contact may provide good services&amp;info, equipment up to remarkable level</t>
  </si>
  <si>
    <t>Up to monstrous resources, may ask favours</t>
  </si>
  <si>
    <t>I've omitted physical forms Compound and Changeling this workbook, since they were more than daunting tasks for this workbook :D</t>
  </si>
  <si>
    <t>All sheets are locked without password (so that no crucial cells are accidentally typed over). You may freely edit and distribute this workbook.</t>
  </si>
  <si>
    <t>Hero can choose to increase power up to +5CS by decreasing range by -5CS and vise versa.</t>
  </si>
  <si>
    <t>Up to monstrous resources, may cause difficulties with other nations</t>
  </si>
  <si>
    <t>Multi-national organizations, monstrous level resources</t>
  </si>
  <si>
    <t>Available only to alien characters, Unearthly resources or higher</t>
  </si>
  <si>
    <t>Mystic: mystic arts</t>
  </si>
  <si>
    <t>Contact is aware of extra-dimensional powers</t>
  </si>
  <si>
    <t>Contact is specialized in one pantheon of deities (olympians, asgardians, ect.)</t>
  </si>
  <si>
    <t>A scientist in this field with excellent reason, resources range from good to remarkable</t>
  </si>
  <si>
    <t>Contact has atleast remarkable reason in mystic writings, spells and curses, but is not a magician</t>
  </si>
  <si>
    <t>Gets discount for artworks or free ticets to shows and backstage passes</t>
  </si>
  <si>
    <t>Popularity is completely ignored</t>
  </si>
  <si>
    <t>Biocontrol</t>
  </si>
  <si>
    <t>healing</t>
  </si>
  <si>
    <t>regeneration</t>
  </si>
  <si>
    <t>revival</t>
  </si>
  <si>
    <t>decay</t>
  </si>
  <si>
    <t>disruption</t>
  </si>
  <si>
    <t>aging</t>
  </si>
  <si>
    <t>Sleep-induced</t>
  </si>
  <si>
    <t>min value</t>
  </si>
  <si>
    <t>nom value</t>
  </si>
  <si>
    <t>no.</t>
  </si>
  <si>
    <t xml:space="preserve">Weakness: </t>
  </si>
  <si>
    <t>rolls</t>
  </si>
  <si>
    <t>This power has no rank</t>
  </si>
  <si>
    <t>F + A + S + E</t>
  </si>
  <si>
    <t>R + I + P</t>
  </si>
  <si>
    <t>Ultraviolet vision</t>
  </si>
  <si>
    <t>mental/physical</t>
  </si>
  <si>
    <t>power/mental/physical</t>
  </si>
  <si>
    <t>Martial arts supremacy</t>
  </si>
  <si>
    <t>damage transfer</t>
  </si>
  <si>
    <t>word</t>
  </si>
  <si>
    <t>chant</t>
  </si>
  <si>
    <t>gesture</t>
  </si>
  <si>
    <t>alchemy</t>
  </si>
  <si>
    <t>talisman</t>
  </si>
  <si>
    <t>familiar</t>
  </si>
  <si>
    <t>necromancy</t>
  </si>
  <si>
    <t>summoning</t>
  </si>
  <si>
    <t>ritual</t>
  </si>
  <si>
    <t>song</t>
  </si>
  <si>
    <t>MG control</t>
  </si>
  <si>
    <t>magnify/reduce</t>
  </si>
  <si>
    <t>manipulate</t>
  </si>
  <si>
    <t>negate</t>
  </si>
  <si>
    <t>contact</t>
  </si>
  <si>
    <t>microfilm</t>
  </si>
  <si>
    <t>skin pores</t>
  </si>
  <si>
    <t>hair surface</t>
  </si>
  <si>
    <t>smoke particles</t>
  </si>
  <si>
    <t>cells</t>
  </si>
  <si>
    <t>chromosomes</t>
  </si>
  <si>
    <t>viruses</t>
  </si>
  <si>
    <t>molecules</t>
  </si>
  <si>
    <t>small molecules</t>
  </si>
  <si>
    <t>atoms</t>
  </si>
  <si>
    <t>protons</t>
  </si>
  <si>
    <t>electrons</t>
  </si>
  <si>
    <t>quarks</t>
  </si>
  <si>
    <t>mesons</t>
  </si>
  <si>
    <t>bosons</t>
  </si>
  <si>
    <t>sub-atomic</t>
  </si>
  <si>
    <t>Real. alt.</t>
  </si>
  <si>
    <t>future</t>
  </si>
  <si>
    <t>present</t>
  </si>
  <si>
    <t>past</t>
  </si>
  <si>
    <t>temporal flow</t>
  </si>
  <si>
    <t>50 %</t>
  </si>
  <si>
    <t>25 %</t>
  </si>
  <si>
    <t>3 %</t>
  </si>
  <si>
    <t>1 %</t>
  </si>
  <si>
    <t>10-e33 %</t>
  </si>
  <si>
    <t>12,5 %</t>
  </si>
  <si>
    <t>6,25 %</t>
  </si>
  <si>
    <t>0,5 %</t>
  </si>
  <si>
    <t>0,25 %</t>
  </si>
  <si>
    <t>0,1 %</t>
  </si>
  <si>
    <t>0,01 %</t>
  </si>
  <si>
    <t>0,001 %</t>
  </si>
  <si>
    <t>0,00001 %</t>
  </si>
  <si>
    <t>atomic collapse</t>
  </si>
  <si>
    <t>atomic reduction</t>
  </si>
  <si>
    <t>atomic shrinkage</t>
  </si>
  <si>
    <t>1,5x</t>
  </si>
  <si>
    <t>2x</t>
  </si>
  <si>
    <t>3x</t>
  </si>
  <si>
    <t>4x</t>
  </si>
  <si>
    <t>6x</t>
  </si>
  <si>
    <t>8x</t>
  </si>
  <si>
    <t>10x</t>
  </si>
  <si>
    <t>12x</t>
  </si>
  <si>
    <t>15x</t>
  </si>
  <si>
    <t>20x</t>
  </si>
  <si>
    <t>50x</t>
  </si>
  <si>
    <t>100x</t>
  </si>
  <si>
    <t>200x</t>
  </si>
  <si>
    <t>500x</t>
  </si>
  <si>
    <t>10,000x</t>
  </si>
  <si>
    <t>1,000x</t>
  </si>
  <si>
    <t>atomic dispersal</t>
  </si>
  <si>
    <t>atomic growth</t>
  </si>
  <si>
    <t>atomic gain</t>
  </si>
  <si>
    <t>Matter anim.</t>
  </si>
  <si>
    <t>gases</t>
  </si>
  <si>
    <t>liquids</t>
  </si>
  <si>
    <t>solids</t>
  </si>
  <si>
    <t>Sympathetic magic</t>
  </si>
  <si>
    <t>Tables</t>
  </si>
  <si>
    <t>Land/Water movement</t>
  </si>
  <si>
    <t>Air movement</t>
  </si>
  <si>
    <t>3 areas</t>
  </si>
  <si>
    <t>7 areas</t>
  </si>
  <si>
    <t>9 areas</t>
  </si>
  <si>
    <t>12 areas</t>
  </si>
  <si>
    <t>14 areas</t>
  </si>
  <si>
    <t>32 areas</t>
  </si>
  <si>
    <t>50 areas</t>
  </si>
  <si>
    <t>100 areas</t>
  </si>
  <si>
    <t>15 areas</t>
  </si>
  <si>
    <t>30 areas</t>
  </si>
  <si>
    <t>200 areas</t>
  </si>
  <si>
    <t>10,000 mph</t>
  </si>
  <si>
    <t>lightspeed</t>
  </si>
  <si>
    <t>100xlightspeed</t>
  </si>
  <si>
    <t>Weather control</t>
  </si>
  <si>
    <t>Force Field vs. Pwr manip.</t>
  </si>
  <si>
    <t>Resist: Pwr manipulation</t>
  </si>
  <si>
    <t>Extradimension detection</t>
  </si>
  <si>
    <t>Imitate-human changeling</t>
  </si>
  <si>
    <t>Imitate-face changer</t>
  </si>
  <si>
    <t>Str/wgt modif</t>
  </si>
  <si>
    <t>Column Shifts</t>
  </si>
  <si>
    <t>+1CS</t>
  </si>
  <si>
    <t>+2CS</t>
  </si>
  <si>
    <t>+3CS</t>
  </si>
  <si>
    <t>+4CS</t>
  </si>
  <si>
    <t>+5CS</t>
  </si>
  <si>
    <t>+6CS</t>
  </si>
  <si>
    <t>+7CS</t>
  </si>
  <si>
    <t>+8CS</t>
  </si>
  <si>
    <t>+9CS</t>
  </si>
  <si>
    <t>+10CS</t>
  </si>
  <si>
    <t>+11CS</t>
  </si>
  <si>
    <t>+12CS</t>
  </si>
  <si>
    <t>+13CS</t>
  </si>
  <si>
    <t>+14CS</t>
  </si>
  <si>
    <t>+15CS</t>
  </si>
  <si>
    <t>+16CS</t>
  </si>
  <si>
    <t>Mental duplic.</t>
  </si>
  <si>
    <t>detachment</t>
  </si>
  <si>
    <t>merge</t>
  </si>
  <si>
    <t>tranformation</t>
  </si>
  <si>
    <t>In combat, +1CS to hero's attacks, may cause insanity</t>
  </si>
  <si>
    <t>newborn</t>
  </si>
  <si>
    <t>premade</t>
  </si>
  <si>
    <t>re-animation</t>
  </si>
  <si>
    <t>Ser. immort.</t>
  </si>
  <si>
    <t>spontaneous creation</t>
  </si>
  <si>
    <t>parasite</t>
  </si>
  <si>
    <t>-1CS against psionics, -1CS Fi&amp;Ag, when fighting with sensory link</t>
  </si>
  <si>
    <t>leather</t>
  </si>
  <si>
    <t>rigid plates</t>
  </si>
  <si>
    <t>visually inorganic</t>
  </si>
  <si>
    <t>inorganic</t>
  </si>
  <si>
    <t>Provides complete resistance to gaseous toxins</t>
  </si>
  <si>
    <t>Can imitate sonic powers with -1CS</t>
  </si>
  <si>
    <t>Breathes liquids, -1CS resistance to heat &amp; aridity, +1CS damage from those</t>
  </si>
  <si>
    <t>Modified ranks</t>
  </si>
  <si>
    <t>On land +2CS Strengt &amp; Endurance, -2CS Agility</t>
  </si>
  <si>
    <t>Red FEAT locates specific lifeform in the midst of a number of similar beings.</t>
  </si>
  <si>
    <t>Must have atleast one weakness, Raise by +1CS selecting additional weaknesses (up to four : +3CS)</t>
  </si>
  <si>
    <t>Raise by +1CS selecting specific form, +2CS by choosing range to contact only. Heat reduces, cold increases rank by intensity.</t>
  </si>
  <si>
    <t>Raise by +1CS if doppleganger is independent mind, +1CS if hero is unconscious when this power is used.</t>
  </si>
  <si>
    <t>+1CS when fighting against cold &amp; waterbased powers, -1CS when attacked by those same powers.</t>
  </si>
  <si>
    <t>Raise rank +1CS by selecting specific form of radiation.</t>
  </si>
  <si>
    <t>Creates also a secondary "blank white area" illusion, which lasts 10-20 turns, or until the primary illusion ceases.</t>
  </si>
  <si>
    <t>Hero can do -2CS rank level damage using light-based attacks by redirecting them.</t>
  </si>
  <si>
    <t>Heal a specific person by power rank number per day. May not replace lost tissue.</t>
  </si>
  <si>
    <t>Heal a specific person by power rank number per day. May replace lost tissue.</t>
  </si>
  <si>
    <t>Revive a dead person. Rank number is the max. no. of days target has been deceased.</t>
  </si>
  <si>
    <t>Transfers damage to hero (and heals the target), then the hero heals himself.</t>
  </si>
  <si>
    <t>Accelerates cellular collapse, causes power rank damage per turn.</t>
  </si>
  <si>
    <t>Disrupts physiology, causing nausea/coronary attacs, power rank damage per turn.</t>
  </si>
  <si>
    <t>Demihuman, faun (human torso on a pair of goat legs)</t>
  </si>
  <si>
    <t>Demihuman, equiman (human torso over a pair of horse legs)</t>
  </si>
  <si>
    <t>Demihuman, centaur (human torso on a horse body)</t>
  </si>
  <si>
    <t>Demihuman, felinoid (catlike humanoid)</t>
  </si>
  <si>
    <t>Demihuman, lupinoid (doglike humanoid)</t>
  </si>
  <si>
    <t>Demihuman, chiropteran (batlike humanoid)</t>
  </si>
  <si>
    <t>Demihuman, avian (angelic humanoid)</t>
  </si>
  <si>
    <t>Demihuman, lamian (human torso, snakelike body)</t>
  </si>
  <si>
    <t>Demihuman, merhuman (human torso, fish body)</t>
  </si>
  <si>
    <t>Poison bite (50% chance)</t>
  </si>
  <si>
    <t>Green FEAT accelerates aging, yellow FEAT stops it, red FEAT reverses it, power rank multiplier.</t>
  </si>
  <si>
    <t>Choose coating material. When coated, hero is vunerable to attacks against that specific material.</t>
  </si>
  <si>
    <t>Hero retains his solidity, even when duplicating the properties of a liquid or gas. Hero is hard to track (-4CS).</t>
  </si>
  <si>
    <t>Ability modifier table</t>
  </si>
  <si>
    <t>Hero can transform his body into a coherent energy field of any type. Must choose one type.</t>
  </si>
  <si>
    <t>Hero can transform his body into a sphere, +3CS resistance to blunt, -2CS to edged attacks</t>
  </si>
  <si>
    <t>Growth/tohit</t>
  </si>
  <si>
    <t>Shrink/tohitdmg</t>
  </si>
  <si>
    <t>10-e18 %</t>
  </si>
  <si>
    <t>10-e12 %</t>
  </si>
  <si>
    <t>0,0000001 %</t>
  </si>
  <si>
    <t>Hero can temporarily increase the lenght of any bodypart he chooses. Max total elongation is the elongation of all bodyparts.</t>
  </si>
  <si>
    <t>Normally the power is used on a single target, each additional target reduces the effect -1CS.</t>
  </si>
  <si>
    <t>May raise rank +2CS by choosing a force field that protects against specific attack.</t>
  </si>
  <si>
    <t>May raise rank +1CS by choosing a force field that protects against specific attack.</t>
  </si>
  <si>
    <t>Ty FEAT; random direction, Am FEAT; -3CS intensity, Un FEAT; full force.</t>
  </si>
  <si>
    <t>May raise rank +1CS by choosing a resistance against specific attack.</t>
  </si>
  <si>
    <t>May raise rank +2CS by choosing a resistance against specific attack.</t>
  </si>
  <si>
    <t>Exceed range by FEATs (green +1CS, yellow +2CS, red +3CS), may link health for +1CS.</t>
  </si>
  <si>
    <t>Identify the past use of magic (green FEAT), magic user (yellow FEAT) and the actual spell (red FEAT).</t>
  </si>
  <si>
    <t>Raise rank +1CS by selecting material that blocks vision.</t>
  </si>
  <si>
    <t>FEATs: Identify the past use of power (Gd), specific power (Re), user (Am).</t>
  </si>
  <si>
    <t>FEATs: Identify the past use of psionics (Ex), specific power (Am), user (Un).</t>
  </si>
  <si>
    <t>Power may be automatic or deliberate. If automatic, power rank +1CS and Psyche -2CS.</t>
  </si>
  <si>
    <t>Can see clearly through fog. Hero has increased risk of blinded by high UV-sources (-2CS).</t>
  </si>
  <si>
    <t>Raise by +1CS selecting specific energy conversion. Can convert up to +1CS intensity enegies (red FEAT).</t>
  </si>
  <si>
    <t>Simple solids on Fe FEAT, animated forms on Ty FEAT, simple machinery on In FEAT.</t>
  </si>
  <si>
    <t>Raise rank +1CS by selecting specific energy absorption.</t>
  </si>
  <si>
    <t>Must have atleast one weakness, Raise by +1CS selecting additional weaknesses (up to four : +3CS).</t>
  </si>
  <si>
    <t>Richter's (intesities): 1 (Fe/Pr), 2 (Ty/Gd), 3 (Ex/Rm), 4 (In/Am), 5 (Mn/Un), 6 (SX/SY), 7 (SZ/C1), 8 (C3/C5).</t>
  </si>
  <si>
    <t>Raise rank +2CS by selecting specific form of light.</t>
  </si>
  <si>
    <t>Can attract/repel magnetic materials at +1CS, vunerable to electrical attacks &amp; ferrous weapons (-2CS).</t>
  </si>
  <si>
    <t>Rank +1CS when attacking energy sheath or energy body.</t>
  </si>
  <si>
    <t>Affects: Gd - light, Ex - heat, Rm - hard radiation, In - radiowaves, Am - energy dopplegangers, Mn - energy bodies.</t>
  </si>
  <si>
    <t>When berserked, hero develops Iron Will for the duration of the rage, rank is the same as this power's rank.</t>
  </si>
  <si>
    <t>Can be modified to fit any fighting skill (swords/bows/oriental weapons).</t>
  </si>
  <si>
    <t>Power acts as a -2CS force field vs. light based attacks.</t>
  </si>
  <si>
    <t>description</t>
  </si>
  <si>
    <t>Rank +2CS if specializes in particular weapon category.</t>
  </si>
  <si>
    <t>Rank +2CS if specializes in particular emotion category.</t>
  </si>
  <si>
    <t>FEATs: Exorcise lower rank control (Ty), equal rank control (Re), higher rank control (Am).</t>
  </si>
  <si>
    <t>If the hero tries to transfer one mind to multiple bodies, the duration decreases -2CS for each body.</t>
  </si>
  <si>
    <t>Originally friendly entities are harmlessly catapulted outside the force field.</t>
  </si>
  <si>
    <t>Rank +2CS if specializes in particular effect. Multiple targets decrease duration -1CS/target.</t>
  </si>
  <si>
    <t>Immune to diseases, can cure diseases by red FEAT. Multiple targets decrease power rank -1CS/target.</t>
  </si>
  <si>
    <t>Exceeding no. of controlled plants by 10% decrease duration by -1CS. Characteristics according to power rank.</t>
  </si>
  <si>
    <t>Lifespan 1/80th of normal: house plants 2 days, shrubbery 3 weeks, trees 1-10 years.</t>
  </si>
  <si>
    <t>By a Monstrous intensity FEAT, the hero can transfer sensory info to others.</t>
  </si>
  <si>
    <t>When shapechanging target, make sure that the new form still allows basic life functions.</t>
  </si>
  <si>
    <t>Control zombies with green FEAT, mummies/vampires with red FEAT.</t>
  </si>
  <si>
    <t>Targets may resist being drawn in limbo by making Agility, Strength or Travel power FEAT.</t>
  </si>
  <si>
    <t>Invest a target with power of the hero or another being the hero works with (e.g. Firesword).</t>
  </si>
  <si>
    <t>Roll an additional free power, because this is more like a restraint than an actual power.</t>
  </si>
  <si>
    <t>Hero can alter his apparent age at will. Hero's powers may be linked in different ages.</t>
  </si>
  <si>
    <t>Has no use for rank, transformation may be automatic or voluntary</t>
  </si>
  <si>
    <t>Hero has two different forms. The normal should be rolled as normal human.</t>
  </si>
  <si>
    <t>A.S. range</t>
  </si>
  <si>
    <t>A.S. duration</t>
  </si>
  <si>
    <t>500 areas</t>
  </si>
  <si>
    <t>2,000 areas</t>
  </si>
  <si>
    <t>1,000 areas</t>
  </si>
  <si>
    <t>1 minute</t>
  </si>
  <si>
    <t>2 minutes</t>
  </si>
  <si>
    <t>4 minutes</t>
  </si>
  <si>
    <t>8 minutes</t>
  </si>
  <si>
    <t>15 minutes</t>
  </si>
  <si>
    <t>30 minutes</t>
  </si>
  <si>
    <t>1 hour</t>
  </si>
  <si>
    <t>2 hours</t>
  </si>
  <si>
    <t>4 hours</t>
  </si>
  <si>
    <t>8 hours</t>
  </si>
  <si>
    <t>1 day</t>
  </si>
  <si>
    <t>2 days</t>
  </si>
  <si>
    <t>4 days</t>
  </si>
  <si>
    <t>10 days</t>
  </si>
  <si>
    <t>20 days</t>
  </si>
  <si>
    <t>40 days</t>
  </si>
  <si>
    <t>Hero can duplicate the natural abilities of any animal (e.g. senses, digestivity, breathing, pressure withstandability).</t>
  </si>
  <si>
    <t>Hero has the ability to match his color exactly to his surroundings. Body outline and contours are still detectable.</t>
  </si>
  <si>
    <t>Hero's body automatically changes in 1-10 turns into a form that has primary abilities proportional to the new environment.</t>
  </si>
  <si>
    <t>Normally the power is used the whole body, hero can transform into multiple materials or specific parts at -1CS.</t>
  </si>
  <si>
    <t>May create any magical power with a -3CS rank.</t>
  </si>
  <si>
    <t>A form of mind control. If the target of this power voluntarily co-operates with hero, then control is automatic.</t>
  </si>
  <si>
    <t>Force Field a'la Invisible woman.</t>
  </si>
  <si>
    <t>Artificially created armor that provides protection (and possibly powers).</t>
  </si>
  <si>
    <t>Protection against magic of all types.</t>
  </si>
  <si>
    <t>Protection against attacks towards intuition.</t>
  </si>
  <si>
    <t>Protection against attacks towards psyche, mind &amp; neural system.</t>
  </si>
  <si>
    <t>Protection against attempts to control hero's powers.</t>
  </si>
  <si>
    <t>Range of sensitivity is altered somehow.</t>
  </si>
  <si>
    <t xml:space="preserve">Hero can see 360º around him. </t>
  </si>
  <si>
    <t>Detects only actual energies, not potential energies (like bombs, until they go off).</t>
  </si>
  <si>
    <t>Hero can see through dimensional barriers.</t>
  </si>
  <si>
    <t>Hero can detect extremely faint or distant sounds.</t>
  </si>
  <si>
    <t>Hero can detect extremely faint smells.</t>
  </si>
  <si>
    <t>Hero can detect extremely small surface details.</t>
  </si>
  <si>
    <t>Hero can focus on extremely minute targets.</t>
  </si>
  <si>
    <t>Hero can gain 3-dimensional picture of his surroundings through the use of electromagnetic waves.</t>
  </si>
  <si>
    <t>Hero can gain 3-dimensional picture of his surroundings through the use of soundwaves.</t>
  </si>
  <si>
    <t>Hero can focus on extremely distant targets.</t>
  </si>
  <si>
    <t>Hero can see infrared light and heat images.</t>
  </si>
  <si>
    <t>Hero can detect and follow the tracks left by a specific target.</t>
  </si>
  <si>
    <t>Here are some instructions on how to use this excel-workbook to create heroes for Advanced Marvel Superheroes RPG</t>
  </si>
  <si>
    <t>The power explanations on some powers may be wrong, which indicates that I don't know how some of those powers work.</t>
  </si>
  <si>
    <t>First step:</t>
  </si>
  <si>
    <t>Character type</t>
  </si>
  <si>
    <t>Randomize the character type by pressing</t>
  </si>
  <si>
    <t>Second step:</t>
  </si>
  <si>
    <t>Randomize the character abilities by pressing</t>
  </si>
  <si>
    <t>Ranks</t>
  </si>
  <si>
    <t>on the character sheet.</t>
  </si>
  <si>
    <t>This will randomly select your character physical form, origin, sex, body type, height, weight, hair &amp; eye colour, age and weaknesses</t>
  </si>
  <si>
    <t>Start res. Poor, pop. Zero, heal twice as fast, atleast 1 contact, resistance to Mental Domination -1CS</t>
  </si>
  <si>
    <t>Forced Res</t>
  </si>
  <si>
    <t>Forced Pop</t>
  </si>
  <si>
    <t>Increased strengt &amp; endurance</t>
  </si>
  <si>
    <t>Fighting +1CS, different extra parts grant different bonuses.</t>
  </si>
  <si>
    <t>Shift-0</t>
  </si>
  <si>
    <t>0</t>
  </si>
  <si>
    <t>This wil randomize your FASERIP, resources and popularity (some physical forms have set initial resources and popularity).</t>
  </si>
  <si>
    <t>At this stage all modifiers are automatically determined according to physical form (like random mutant +1CS Endurance).</t>
  </si>
  <si>
    <t xml:space="preserve">If you see an orange square  </t>
  </si>
  <si>
    <t>over the FASERIP-column, your physical form grants you +1CS to one of the seven abilities.</t>
  </si>
  <si>
    <t>Insert 1 on one of the cyan</t>
  </si>
  <si>
    <t>boxes, and you'll see the rank rise. If you add more than one, you'll notice that the sheet knows you're cheating.</t>
  </si>
  <si>
    <t>You may balance these stast later (if GM allows) by adding negative and positive numbers to these cyan boxes.</t>
  </si>
  <si>
    <t>Third step:</t>
  </si>
  <si>
    <t>Randomize the number of available powers, talents and contacts by pressing</t>
  </si>
  <si>
    <t>P/C/T</t>
  </si>
  <si>
    <t>The number of available powers, talents and contacts are shown in the box below that button.</t>
  </si>
  <si>
    <t>Fourth step:</t>
  </si>
  <si>
    <t>Randomize powers by pressing</t>
  </si>
  <si>
    <t>This will randomly give you the number of powers you are originally granted. There are a number of powers that take two power slots,</t>
  </si>
  <si>
    <t>so the number of powers you see here may be less than the number of powers you get.</t>
  </si>
  <si>
    <t>Some physical forms have initially increased or decreased number of powers available, so you may even end up with no powers!</t>
  </si>
  <si>
    <t>If you don't like some of the powers you get, you can reroll that individual power by pressing the small</t>
  </si>
  <si>
    <t>before that power.</t>
  </si>
  <si>
    <t>The powers, physical forms, weaknesses and origins are taken from the Ultimate Powers Book and it's updates.</t>
  </si>
  <si>
    <t xml:space="preserve">The talents and contacts are from the Advanced Player's book (sorry, no ultimate talents in this workbook). </t>
  </si>
  <si>
    <t>Fifth step:</t>
  </si>
  <si>
    <t>Randomize power ranks for your powers by pressing</t>
  </si>
  <si>
    <t>You'll get some nice ranks on your powers.</t>
  </si>
  <si>
    <t>Sixth step:</t>
  </si>
  <si>
    <t>Randomize talents by pressing</t>
  </si>
  <si>
    <t>Seventh step</t>
  </si>
  <si>
    <t>Randomize contacts by pressing</t>
  </si>
  <si>
    <t>Eight step</t>
  </si>
  <si>
    <t>You may modify your power ranks by the rules given in the Ultimate Powers Book. I think I've collected most of those rules in the lower section of the sheet.</t>
  </si>
  <si>
    <t>Enter the modifier in the box</t>
  </si>
  <si>
    <t>For example if you have energy conversion, you can raise rank by +1CS by selecting a specific energy conversion from hard radiation to light</t>
  </si>
  <si>
    <t>+/-CS, and a description of it in the long cyan box.</t>
  </si>
  <si>
    <t>You can also randomize everything in a single go by pressing</t>
  </si>
  <si>
    <t>Roll everything</t>
  </si>
  <si>
    <t>Try to enjoy and have fun!</t>
  </si>
  <si>
    <t>Cheers,</t>
  </si>
  <si>
    <t>aaglo</t>
  </si>
  <si>
    <t>Some physical forms have automatic superpowers, I've tried to include them below the list of hero's superpowers.</t>
  </si>
  <si>
    <t>POWER DESCRIPTIONS</t>
  </si>
  <si>
    <t>Note: the page splits are done for A4 paper size. Letter-size may have different properties, and the print may look different - I wouldn't know, I don't use letter-size…</t>
  </si>
  <si>
    <t>This excel-sheet uses macros, which require analysis-toolpack for excel to work.</t>
  </si>
  <si>
    <t>Hero can detect flaws and stress points in a target.</t>
  </si>
  <si>
    <t>Hero can absorb a specific type of energy and gain health.</t>
  </si>
  <si>
    <t>Hero can control the speed at which chemical reactions occur.</t>
  </si>
  <si>
    <t>Hero can control any force that actively decreases the temperature of something else.</t>
  </si>
  <si>
    <t>Hero can generate and control the extradimensional darkforce-energy.</t>
  </si>
  <si>
    <t>Hero can control all forms of electricity.</t>
  </si>
  <si>
    <t>Hero can control existing flames.</t>
  </si>
  <si>
    <t>Hero can control gravity, the force that attracts all particles to all other particles.</t>
  </si>
  <si>
    <t>Hero can control existing radiation.</t>
  </si>
  <si>
    <t>Hero can control motion. Typical intensity FEAT enables changing the direction of a moving object.</t>
  </si>
  <si>
    <t>Hero can manipulate existing light.</t>
  </si>
  <si>
    <t>Hero can control magnetic forces.</t>
  </si>
  <si>
    <t>Hero can control fields of highly-charged particles.</t>
  </si>
  <si>
    <t>Voice-cast (Ty), music/multivoice/stillpic (Ex), single fig. simple backgr. (In), single fig. complex backgr. (Mo)</t>
  </si>
  <si>
    <t>Hero can control shadows and, indirectly, light as well.</t>
  </si>
  <si>
    <t>Hero can control existing sound.</t>
  </si>
  <si>
    <t>Hero can control applied heat or cold.</t>
  </si>
  <si>
    <t>Hero can hit a target with brute force - blunt or sharp. Effect is the same as hit with solid object of equal material strength.</t>
  </si>
  <si>
    <t>Hero can generate radiowaves, including AM, FM, microwaves and mobile phone waves.</t>
  </si>
  <si>
    <t>Hero can generate intense sound an make attacks from it.</t>
  </si>
  <si>
    <t>Hero can generate non-audible vibrations - may even negate vocal power by affecting larynx.</t>
  </si>
  <si>
    <t>Hero's body contains special anatomical features that can function as weapons.</t>
  </si>
  <si>
    <t>Hero can create illusion of himself. Hero can see and communicate through these illusions with others.</t>
  </si>
  <si>
    <t>Hero can capture disembodied spirits and merge them into new bodies.</t>
  </si>
  <si>
    <t>Hero can perform psionically augmented surgery, beyond 21st century medical science.</t>
  </si>
  <si>
    <t>Hero can dominate a target's behavior and actions by implanting commands.</t>
  </si>
  <si>
    <t>Hero has the ability to directly control a target's mind through psionic powers.</t>
  </si>
  <si>
    <t>Hero has the ability to put any target into a deep sleep.</t>
  </si>
  <si>
    <t>Hero can capture and indefinitely hold within himself any number of disembodied spirits.</t>
  </si>
  <si>
    <t>Hero can summon and control extra-dimensional, corporeal beings (in lay-mans terms, demons).</t>
  </si>
  <si>
    <t>Max. control range into the future is number of turns equal to the power rank number.</t>
  </si>
  <si>
    <t>Hero creates pocet dimension, where some things may be changed to a degree.</t>
  </si>
  <si>
    <t>Angelic forms</t>
  </si>
  <si>
    <t>Artifact Crea. (sword) / Fire gen.</t>
  </si>
  <si>
    <t>Ex / Gd</t>
  </si>
  <si>
    <t>Max. control range into the past is number of weeks equal to the power rank number.</t>
  </si>
  <si>
    <t>Hero can alter the rate at which time passes, multiplier/divider is the power rank number.</t>
  </si>
  <si>
    <t>This power requires the hero to make an effigy of his target as a way of directin the power to that target.</t>
  </si>
  <si>
    <t>Remarkable FEAT generates single-use ward, Amazing FEAT generates self-renewing ward.</t>
  </si>
  <si>
    <t>Collected material instantly teleports to the collection site.</t>
  </si>
  <si>
    <t>Duration of the crystals is power rank number in minutes.</t>
  </si>
  <si>
    <t>Hero decreases the distance between the atoms not losing any weight. Strength is unaffected.</t>
  </si>
  <si>
    <t>Hero decreases the number of atoms. Mass and strength both decrease. At Shift-Z -level the target is a single molecule.</t>
  </si>
  <si>
    <t>Hero reduces the size of the atoms, enabling entering to microverse. Mass and strength both decrease.</t>
  </si>
  <si>
    <t>Hero increases the distance between the atoms not gaining any weight. Strength is unaffected.</t>
  </si>
  <si>
    <t>Hero increases the number of atoms. Mass and strength (+1CS for every +2CS enlargement) both increase.</t>
  </si>
  <si>
    <t>Hero increases the size of the atoms. Mass increases, lifting strength does not.</t>
  </si>
  <si>
    <t>Hero can choose to increase power by +3CS by decreasing range by -3CS and vise versa.</t>
  </si>
  <si>
    <t>Hero can detect and control geological forces, including plate movement, stress, faults and vulcanism.</t>
  </si>
  <si>
    <t>Hero can control the movement of anything mechanical, giving limited ground movement (-2CS).</t>
  </si>
  <si>
    <t>Hero can create bubble-environment with power rank resistance to air, water, weather, heat and cold.</t>
  </si>
  <si>
    <t>Control windspeed (mph), temperature (Fº), humidity (%) equal to power rank number.</t>
  </si>
  <si>
    <t>Zombies are immune to psionics, mental powers, disease, poisons, pheromones, radiation and sonics.</t>
  </si>
  <si>
    <t>Hero can alter the frequency and intensity of light, and the physical coloration of a target.</t>
  </si>
  <si>
    <t>Hero has the ability to transform any target into combustible material, such flames last only 10-20 turns.</t>
  </si>
  <si>
    <t>Hero can choose to increase power by any number of CS by decreasing range by same amount and vise versa.</t>
  </si>
  <si>
    <t>Hero can generate electricity -1CS, disintegration -2CS, heat -2CS, charge atoms to become ethereal.</t>
  </si>
  <si>
    <t>May choose to specialize in creating a spesific lifeform - weight limit becomes one pound per health point.</t>
  </si>
  <si>
    <t xml:space="preserve">Character name: </t>
  </si>
  <si>
    <t>Value</t>
  </si>
  <si>
    <t>Two detection powers</t>
  </si>
  <si>
    <t>May choose to specialize in creating a spesific artifact - weight limit becomes one pound per health point.</t>
  </si>
  <si>
    <t>May choose to specialize in creating a spesific weapon - weight limit becomes one pound per health point.</t>
  </si>
  <si>
    <t>May choose to specialize in creating a spesific mechanical - weight limit becomes one pound per health point.</t>
  </si>
  <si>
    <t>Hero can spontaneously create and launch projectiles, causing stunning attacks on power rank intensity.</t>
  </si>
  <si>
    <t>Hero can spontaneously create directed cloud of gas, mist or dust. Range 1 area away from hero.</t>
  </si>
  <si>
    <t>Any other power hero has may be combined into the webcasting.</t>
  </si>
  <si>
    <t>Hero can "hear" distant sounds and voices despite any intevening distance or barriers.</t>
  </si>
  <si>
    <t>Hero can "see" distant sights without directly seeing it with his eyes.</t>
  </si>
  <si>
    <t>Hero can communicate with anything that had once been sentient/cybernetic/alive, but is not anymore.</t>
  </si>
  <si>
    <t>The more complex (more microchips) the machine, the easier it is to communicate with.</t>
  </si>
  <si>
    <t>The more complex (larger) the plant/ecosystem, the easier it is to communicate with.</t>
  </si>
  <si>
    <t>The more closer to the hero's species, the easier it is to communicate with.</t>
  </si>
  <si>
    <t>If power is used more than 5 times per day or 10% of rank number, hero may lose marbles.</t>
  </si>
  <si>
    <t>Raise rank +1CS by making the power voluntary. Resistance -1CS to emotional attacks.</t>
  </si>
  <si>
    <t>Raise rank +1CS by making the conversion temporary (Reason rank in hours).</t>
  </si>
  <si>
    <t>Raise rank +1CS by making the hero's body dematerialize whenever power is used.</t>
  </si>
  <si>
    <t>Hero can detect surface emotions of others.</t>
  </si>
  <si>
    <t>Hero's soul is capable of independet existence in the real world (freaky...).</t>
  </si>
  <si>
    <t>Hero can create illusions directly within the target's mind.</t>
  </si>
  <si>
    <t>Raise rank +1CS by specializing in a specific field.</t>
  </si>
  <si>
    <t>Spirit of hero enters countless reincarnations throughout eternity, and hero remembers the recent ones.</t>
  </si>
  <si>
    <t>Hero has complete conscious control over his mind and body.</t>
  </si>
  <si>
    <t>Hero has the ability to rapidly learn any language if sufficient material is available.</t>
  </si>
  <si>
    <t>Hero may psionically study a subject's mind and create a simulation of that mind in his own brain.</t>
  </si>
  <si>
    <t>Hero has the ability to render his own mental energies undetectable by external means.</t>
  </si>
  <si>
    <t>Raise rank +1CS by reducing the range to contact only.</t>
  </si>
  <si>
    <t>Targets who have mental or psionic powers may use those ranks to resist this attack.</t>
  </si>
  <si>
    <t>Hero can deplete, negate or even destroy a target's mental faculties.</t>
  </si>
  <si>
    <t>Hero has the ability to "see" the past. Physical contact with the target is required.</t>
  </si>
  <si>
    <t>Hero has the ability to "see" the future. Each additional use of power within a day decreaces rank -1CS.</t>
  </si>
  <si>
    <t>Possible senses are taste, smell, touch, balance, temperature and medium (e.g. wet/dry/sludgy).</t>
  </si>
  <si>
    <t>Hero can telepathically link his senses with those of another being.</t>
  </si>
  <si>
    <t>Hero can suffer damage, get sick, age and even die. None of it is permanent to the character, though.</t>
  </si>
  <si>
    <t>Hero can make his voice audible in a distant location, without the soundwaves travelling inbetween.</t>
  </si>
  <si>
    <t>Hero can handle material objects without having to make a direct or indirect physical contact.</t>
  </si>
  <si>
    <t>Hero can psionically locate a chosen target through a stimulus connected with the locatee.</t>
  </si>
  <si>
    <t>Raise rank +1CS by choosing a limitation (only receive/transmit/words/images/with other psionics).</t>
  </si>
  <si>
    <t>Hero has the ability to remember anything that he has ever experienced.</t>
  </si>
  <si>
    <t>Hero's skin appears to be normal, but it is capable of withstanding major damage.</t>
  </si>
  <si>
    <t>May be combined with other powers the hero has.</t>
  </si>
  <si>
    <t>Raise rank +2CS by omitting the special adaptations for friction and breathing (dangerous).</t>
  </si>
  <si>
    <t>Sex</t>
  </si>
  <si>
    <t>Male</t>
  </si>
  <si>
    <t>Female</t>
  </si>
  <si>
    <t xml:space="preserve">Sex: </t>
  </si>
  <si>
    <t>Prevents characters losing endurance</t>
  </si>
  <si>
    <t>+/- CS</t>
  </si>
  <si>
    <t>Hero can breathe any gaseous or liquid medium without harm, decreases sense of taste &amp; smell.</t>
  </si>
  <si>
    <t>Hero can swallow and digest any substance without harm, decreases sense of taste.</t>
  </si>
  <si>
    <t>Decrease rank by -2CS if power is automatic.</t>
  </si>
  <si>
    <t>Raise rank +1CS by limiting effects to opposite sex, decrease -2CS if power is automatic.</t>
  </si>
  <si>
    <t>Hero can rapidly recover from any wound, cuts quickly close and disease symptoms disappear.</t>
  </si>
  <si>
    <t>Hero's power is so strong that it can repair fatal damage and return hero to life.</t>
  </si>
  <si>
    <t>Raise rank +1CS by opting for temporary form (required intake is 1/4 of normal during abstaining).</t>
  </si>
  <si>
    <t>Hero can move in ways that cannot be detected, whete while moving or if subjected tracking later.</t>
  </si>
  <si>
    <t>Hero can temporarily suspend all life functions and enter death-like trance.</t>
  </si>
  <si>
    <t>Hero's appearence is not affected by this power in any way.</t>
  </si>
  <si>
    <t>May increase or decrease the rank of affected power by this power rank, area effect at -4CS.</t>
  </si>
  <si>
    <t>Green FEAT redirects, yellow FEAT changes effect, red FEAT converts to harmless, area effect at -4CS.</t>
  </si>
  <si>
    <t>Can completely dispel any powers within his scope, area effect at -4CS,.</t>
  </si>
  <si>
    <t xml:space="preserve">If you rolled this power, DISCARD all other powers, and keep only this one. </t>
  </si>
  <si>
    <t>Hero is able to charge a target with raw power. Judge might think this is too powerful.</t>
  </si>
  <si>
    <t>May create any normal power with a -3CS rank. Judge might think this is too powerful.</t>
  </si>
  <si>
    <t>Hero can channel all his raw energy into a single burst of ability or power.</t>
  </si>
  <si>
    <t>Two or more users can combine to create this new power.</t>
  </si>
  <si>
    <t>Creates nemesis with opponents rank +1CS</t>
  </si>
  <si>
    <t>DISCARD all other powers. Power ctrl/neg is disallowed. Analyze 1 turn, design 2 turns, switching 7 turns</t>
  </si>
  <si>
    <t>Hero can possess any number of powers, but can only use a single one at a given time.</t>
  </si>
  <si>
    <t>Power feat against opponents Psyche, success creates weakness</t>
  </si>
  <si>
    <t>Fighting</t>
  </si>
  <si>
    <t>Physical form</t>
  </si>
  <si>
    <t>Normal human</t>
  </si>
  <si>
    <t>Random mutant</t>
  </si>
  <si>
    <t>Induced mutant</t>
  </si>
  <si>
    <t>Breed mutant</t>
  </si>
  <si>
    <t>Amazing rank grants hero self-teleportation. -1CS resistance to Emotion attacks. Succesful quest gives 1-10 days rest.</t>
  </si>
  <si>
    <t>Hero can fly without any apparent propulsion. Includes power rank resistance to atmospheric friction.</t>
  </si>
  <si>
    <t>Lower rank -1CS to enable 10 feet radius around hero (weight limit still applies).</t>
  </si>
  <si>
    <t>Hero can carry additional weight: each 500 pounds reduce speed -1CS. Strong winds decrease power rank by the intensity.</t>
  </si>
  <si>
    <r>
      <t xml:space="preserve">Ranks in </t>
    </r>
    <r>
      <rPr>
        <b/>
        <i/>
        <sz val="9"/>
        <rFont val="Times New Roman"/>
        <family val="1"/>
      </rPr>
      <t>Italic</t>
    </r>
    <r>
      <rPr>
        <sz val="9"/>
        <rFont val="Times New Roman"/>
        <family val="1"/>
      </rPr>
      <t xml:space="preserve"> are modified.</t>
    </r>
  </si>
  <si>
    <t>Permanent armored hide according to rank, temporary armored hide lowers the rank -2CS. Does not lool like normal skin.</t>
  </si>
  <si>
    <t>Horizontal ground movement 4 areas/turn, feeble climber</t>
  </si>
  <si>
    <t>Available modifiers</t>
  </si>
  <si>
    <t>Android</t>
  </si>
  <si>
    <t>Humanoid race</t>
  </si>
  <si>
    <t>Surgical composite</t>
  </si>
  <si>
    <t>Modified human, organic</t>
  </si>
  <si>
    <t>Modified human, muscular</t>
  </si>
  <si>
    <t>Modified human, skeletal</t>
  </si>
  <si>
    <t>Modified human, extra parts</t>
  </si>
  <si>
    <t>Cyborg, artificial limbs/organs</t>
  </si>
  <si>
    <t>Cyborg, exoskeleton</t>
  </si>
  <si>
    <t>Cyborg, mechanical body</t>
  </si>
  <si>
    <t>Robot, human shape</t>
  </si>
  <si>
    <t>Robot, usuform</t>
  </si>
  <si>
    <t>Robot, metamorphic</t>
  </si>
  <si>
    <t>Robot, computer</t>
  </si>
  <si>
    <t>Angel/Demon</t>
  </si>
  <si>
    <t>Deity</t>
  </si>
  <si>
    <t>Animal</t>
  </si>
  <si>
    <t>Vegetable</t>
  </si>
  <si>
    <t>Abnormal chemistry</t>
  </si>
  <si>
    <t>Mineral</t>
  </si>
  <si>
    <t>Gaseous</t>
  </si>
  <si>
    <t>Liquid</t>
  </si>
  <si>
    <t>Energy</t>
  </si>
  <si>
    <t>Ethereal</t>
  </si>
  <si>
    <t>Undead</t>
  </si>
  <si>
    <t>Roll column</t>
  </si>
  <si>
    <t>Bonuses</t>
  </si>
  <si>
    <t>F</t>
  </si>
  <si>
    <t>A</t>
  </si>
  <si>
    <t>S</t>
  </si>
  <si>
    <t>E</t>
  </si>
  <si>
    <t>R</t>
  </si>
  <si>
    <t>I</t>
  </si>
  <si>
    <t>P</t>
  </si>
  <si>
    <t>Res.</t>
  </si>
  <si>
    <t>Rank Name</t>
  </si>
  <si>
    <t>-</t>
  </si>
  <si>
    <t>Initial rank</t>
  </si>
  <si>
    <t>Rank</t>
  </si>
  <si>
    <t>Initial</t>
  </si>
  <si>
    <t xml:space="preserve">Rank </t>
  </si>
  <si>
    <t>Table</t>
  </si>
  <si>
    <t>HP's</t>
  </si>
  <si>
    <t>Rank no.</t>
  </si>
  <si>
    <t>Attrb adds.</t>
  </si>
  <si>
    <t>Hitpoints</t>
  </si>
  <si>
    <t>Karma</t>
  </si>
  <si>
    <t>Detection</t>
  </si>
  <si>
    <t>Energy control</t>
  </si>
  <si>
    <t>Energy emission</t>
  </si>
  <si>
    <t>Lifeform control</t>
  </si>
  <si>
    <t>Magic</t>
  </si>
  <si>
    <t>Matter control</t>
  </si>
  <si>
    <t>Matter conversion</t>
  </si>
  <si>
    <t>Matter creation</t>
  </si>
  <si>
    <t>Mental enhancement</t>
  </si>
  <si>
    <t>Physical enhancement</t>
  </si>
  <si>
    <t>Power control</t>
  </si>
  <si>
    <t>Self alteration</t>
  </si>
  <si>
    <t>Travel</t>
  </si>
  <si>
    <t>Roll</t>
  </si>
  <si>
    <t>Powers</t>
  </si>
  <si>
    <t>allowed</t>
  </si>
  <si>
    <t>Talents</t>
  </si>
  <si>
    <t>Contacts</t>
  </si>
  <si>
    <t>roll</t>
  </si>
  <si>
    <t>initial</t>
  </si>
  <si>
    <t>max.</t>
  </si>
  <si>
    <t>Body armor</t>
  </si>
  <si>
    <t>Force Field</t>
  </si>
  <si>
    <t>Force Field vs. Emotion</t>
  </si>
  <si>
    <t>Force Field vs. Energy</t>
  </si>
  <si>
    <t>Force Field vs. Magic</t>
  </si>
  <si>
    <t>Force Field vs. Mental</t>
  </si>
  <si>
    <t>Force Field vs. Physical</t>
  </si>
  <si>
    <t>Force Field vs. Vampirism</t>
  </si>
  <si>
    <t>Reflection</t>
  </si>
  <si>
    <t>Resist: Magic</t>
  </si>
  <si>
    <t>Resist: Emotion</t>
  </si>
  <si>
    <t>Resist: Energy</t>
  </si>
  <si>
    <t>Resist: Mental</t>
  </si>
  <si>
    <t>Resist: Physical</t>
  </si>
  <si>
    <t>Resist: Vampirism</t>
  </si>
  <si>
    <t>nro</t>
  </si>
  <si>
    <t>Abnormal sensitivity</t>
  </si>
  <si>
    <t>Circular vision</t>
  </si>
  <si>
    <t>Energy detection</t>
  </si>
  <si>
    <t>Environmental awareness</t>
  </si>
  <si>
    <t>Hyper-hearing</t>
  </si>
  <si>
    <t>Hyper-olfactory</t>
  </si>
  <si>
    <t>Hyper-touch</t>
  </si>
  <si>
    <t>Life detection</t>
  </si>
  <si>
    <t>Magic detection</t>
  </si>
  <si>
    <t>Microscopic vision</t>
  </si>
  <si>
    <t>Penetration vision</t>
  </si>
  <si>
    <t>Power detection</t>
  </si>
  <si>
    <t>Psionic detection</t>
  </si>
  <si>
    <t>Radarsense</t>
  </si>
  <si>
    <t>Sonar</t>
  </si>
  <si>
    <t>Telescopic vision</t>
  </si>
  <si>
    <t>Thermal vision</t>
  </si>
  <si>
    <t>Tracking</t>
  </si>
  <si>
    <t>True sight</t>
  </si>
  <si>
    <t>Weakness detection</t>
  </si>
  <si>
    <t>Absorption power</t>
  </si>
  <si>
    <t>Catalytic control</t>
  </si>
  <si>
    <t>Coldshaping</t>
  </si>
  <si>
    <t>Darkforce manipulation</t>
  </si>
  <si>
    <t>Electrical control</t>
  </si>
  <si>
    <t>Energy conversion</t>
  </si>
  <si>
    <t>Energy solidification</t>
  </si>
  <si>
    <t>Energy sponge</t>
  </si>
  <si>
    <t>Energy vampirism</t>
  </si>
  <si>
    <t>Fire control</t>
  </si>
  <si>
    <t>Gravity manipulation</t>
  </si>
  <si>
    <t>Hard radiation control</t>
  </si>
  <si>
    <t xml:space="preserve">Kinetic control </t>
  </si>
  <si>
    <t>Light control</t>
  </si>
  <si>
    <t>Magnetic manipulation</t>
  </si>
  <si>
    <t>Plasma control</t>
  </si>
  <si>
    <t>Radiowave control</t>
  </si>
  <si>
    <t>Shadowshaping</t>
  </si>
  <si>
    <t>Sound manipulation</t>
  </si>
  <si>
    <t>Thermal control</t>
  </si>
  <si>
    <t>Vibration control</t>
  </si>
  <si>
    <t>Illusionary</t>
  </si>
  <si>
    <t>power</t>
  </si>
  <si>
    <t>class</t>
  </si>
  <si>
    <t>class no.</t>
  </si>
  <si>
    <t>power no.</t>
  </si>
  <si>
    <t>Cold generation</t>
  </si>
  <si>
    <t>Electrical generation</t>
  </si>
  <si>
    <t>Energy doppleganger</t>
  </si>
  <si>
    <t>Fire generation</t>
  </si>
  <si>
    <t>Hard radiation</t>
  </si>
  <si>
    <t>Heat</t>
  </si>
  <si>
    <t>Kinetic bolt</t>
  </si>
  <si>
    <t>Light emission</t>
  </si>
  <si>
    <t>Magnetism</t>
  </si>
  <si>
    <t>Plasma generation</t>
  </si>
  <si>
    <t>Radiowave generation</t>
  </si>
  <si>
    <t>Shadowcasting</t>
  </si>
  <si>
    <t>Sonic generation</t>
  </si>
  <si>
    <t>Vibration</t>
  </si>
  <si>
    <t>Berserker</t>
  </si>
  <si>
    <t>Natural weaponry</t>
  </si>
  <si>
    <t>Weapons creation</t>
  </si>
  <si>
    <t>Weapons tinkering</t>
  </si>
  <si>
    <t>powers that count as two powers</t>
  </si>
  <si>
    <t>Animate image</t>
  </si>
  <si>
    <t>Illusion-casting</t>
  </si>
  <si>
    <t>Illusory invisibility</t>
  </si>
  <si>
    <t>Illusory duplication</t>
  </si>
  <si>
    <t>Biophysical control</t>
  </si>
  <si>
    <t>Bio-vampirism</t>
  </si>
  <si>
    <t>Body transform-others</t>
  </si>
  <si>
    <t>Emotion control</t>
  </si>
  <si>
    <t>Exorcism</t>
  </si>
  <si>
    <t>Force field vs. hostiles</t>
  </si>
  <si>
    <t>Forced reincarnation</t>
  </si>
  <si>
    <t>Grafting</t>
  </si>
  <si>
    <t>Hypnotic control</t>
  </si>
  <si>
    <t>Mind control</t>
  </si>
  <si>
    <t>Mind transferral</t>
  </si>
  <si>
    <t>Neural manipulation</t>
  </si>
  <si>
    <t>Plague carrier</t>
  </si>
  <si>
    <t>Plant control</t>
  </si>
  <si>
    <t>Plant growth</t>
  </si>
  <si>
    <t>Sense alteration</t>
  </si>
  <si>
    <t>Sapechange-others</t>
  </si>
  <si>
    <t>Spirit storage</t>
  </si>
  <si>
    <t>Summoning</t>
  </si>
  <si>
    <t>Undead control</t>
  </si>
  <si>
    <t>Enchantment</t>
  </si>
  <si>
    <t>Energy source</t>
  </si>
  <si>
    <t>Internal limbo</t>
  </si>
  <si>
    <t>Magic control</t>
  </si>
  <si>
    <t>Magic creation</t>
  </si>
  <si>
    <t>Magic domination</t>
  </si>
  <si>
    <t>Magic transferral</t>
  </si>
  <si>
    <t>Magic vampirism</t>
  </si>
  <si>
    <t>Power simulation</t>
  </si>
  <si>
    <t>Reality alteration</t>
  </si>
  <si>
    <t>Spirit vampirism</t>
  </si>
  <si>
    <t>Warding</t>
  </si>
  <si>
    <t>Bonding</t>
  </si>
  <si>
    <t>Collection</t>
  </si>
  <si>
    <t>Crystallization</t>
  </si>
  <si>
    <t>Diminution</t>
  </si>
  <si>
    <t>Disruption</t>
  </si>
  <si>
    <t>Enlargement</t>
  </si>
  <si>
    <t>Geoforce</t>
  </si>
  <si>
    <t>Matter animation</t>
  </si>
  <si>
    <t>Machine animation</t>
  </si>
  <si>
    <t>Micro-environment</t>
  </si>
  <si>
    <t>Molding</t>
  </si>
  <si>
    <t>Zombie animation</t>
  </si>
  <si>
    <t>Coloration</t>
  </si>
  <si>
    <t>Combustion</t>
  </si>
  <si>
    <t>Disintegration</t>
  </si>
  <si>
    <t>Elemental conversion</t>
  </si>
  <si>
    <t>Ionization</t>
  </si>
  <si>
    <t>Molecular conversion</t>
  </si>
  <si>
    <t>Artifact creation</t>
  </si>
  <si>
    <t>Elemental creation</t>
  </si>
  <si>
    <t>Lifeform creation</t>
  </si>
  <si>
    <t>Mechanical creation</t>
  </si>
  <si>
    <t>Missile creation</t>
  </si>
  <si>
    <t>Molecular creation</t>
  </si>
  <si>
    <t>Spray</t>
  </si>
  <si>
    <t>Webcasting</t>
  </si>
  <si>
    <t>Clairaudience</t>
  </si>
  <si>
    <t>Clairvoyance</t>
  </si>
  <si>
    <t>Communicate animals</t>
  </si>
  <si>
    <t>Communicate cybernetics</t>
  </si>
  <si>
    <t>Communicate non-living</t>
  </si>
  <si>
    <t>Communicate plants</t>
  </si>
  <si>
    <t>Cosmic awareness</t>
  </si>
  <si>
    <t>Danger sense</t>
  </si>
  <si>
    <t>Dreamtravel</t>
  </si>
  <si>
    <t>Empathy</t>
  </si>
  <si>
    <t>Free spirit</t>
  </si>
  <si>
    <t>Hallucinations</t>
  </si>
  <si>
    <t>Hyper-intelligence</t>
  </si>
  <si>
    <t>Hyper-invention</t>
  </si>
  <si>
    <t>Incarnation awareness</t>
  </si>
  <si>
    <t>Iron will</t>
  </si>
  <si>
    <t>Linguistics</t>
  </si>
  <si>
    <t>Mental duplication</t>
  </si>
  <si>
    <t>Mental invisibility</t>
  </si>
  <si>
    <t>Mental probe</t>
  </si>
  <si>
    <t>Mind blast</t>
  </si>
  <si>
    <t>Mind drain</t>
  </si>
  <si>
    <t>Postcognition</t>
  </si>
  <si>
    <t>Precognition</t>
  </si>
  <si>
    <t>Psionic vampirism</t>
  </si>
  <si>
    <t>Remote sensing</t>
  </si>
  <si>
    <t>Sensory link</t>
  </si>
  <si>
    <t>Serial immortality</t>
  </si>
  <si>
    <t>Speechthrowing</t>
  </si>
  <si>
    <t>Telekinesis</t>
  </si>
  <si>
    <t>Telelocation</t>
  </si>
  <si>
    <t>Telepathy</t>
  </si>
  <si>
    <t>Total memory</t>
  </si>
  <si>
    <t>Armor skin</t>
  </si>
  <si>
    <t>Body resistance</t>
  </si>
  <si>
    <t>Chemical touch</t>
  </si>
  <si>
    <t>Digestive adaptation</t>
  </si>
  <si>
    <t>Hyper-speed</t>
  </si>
  <si>
    <t>Hypnotic voice</t>
  </si>
  <si>
    <t>Lung adaptation</t>
  </si>
  <si>
    <t>Pheromones</t>
  </si>
  <si>
    <t>Regeneration</t>
  </si>
  <si>
    <t>Self-revival</t>
  </si>
  <si>
    <t>Self-sustenance</t>
  </si>
  <si>
    <t>Stealth</t>
  </si>
  <si>
    <t>Suspended animation</t>
  </si>
  <si>
    <t>True invunerability</t>
  </si>
  <si>
    <t>Vocal control</t>
  </si>
  <si>
    <t>Waterbreathing</t>
  </si>
  <si>
    <t>Water freedom</t>
  </si>
  <si>
    <t>Control</t>
  </si>
  <si>
    <t>Creation</t>
  </si>
  <si>
    <t>Domination</t>
  </si>
  <si>
    <t>Duplication</t>
  </si>
  <si>
    <t>Energy source/magic</t>
  </si>
  <si>
    <t>Energy source creation</t>
  </si>
  <si>
    <t>Focus</t>
  </si>
  <si>
    <t>Gestalt</t>
  </si>
  <si>
    <t>Nemesis</t>
  </si>
  <si>
    <t>Power transferral</t>
  </si>
  <si>
    <t>Power vampirism</t>
  </si>
  <si>
    <t>Residual absorption</t>
  </si>
  <si>
    <t>Selection</t>
  </si>
  <si>
    <t>Weakness creation</t>
  </si>
  <si>
    <t>Age-shift</t>
  </si>
  <si>
    <t>Alter ego</t>
  </si>
  <si>
    <t>Anatomical separation</t>
  </si>
  <si>
    <t>Animal transformation</t>
  </si>
  <si>
    <t>Animal mimicry</t>
  </si>
  <si>
    <t>Blending</t>
  </si>
  <si>
    <t>Body adaptation</t>
  </si>
  <si>
    <t>Body transformation</t>
  </si>
  <si>
    <t>Body coating</t>
  </si>
  <si>
    <t>Bouncing ball</t>
  </si>
  <si>
    <t>Chemical mimicry</t>
  </si>
  <si>
    <t>Elongation</t>
  </si>
  <si>
    <t>Energy body</t>
  </si>
  <si>
    <t>Energy sheath</t>
  </si>
  <si>
    <t>Evolution</t>
  </si>
  <si>
    <t>Growth</t>
  </si>
  <si>
    <t>Invisibility</t>
  </si>
  <si>
    <t>Mass increase</t>
  </si>
  <si>
    <t>Mass decrease</t>
  </si>
  <si>
    <t>Phasing</t>
  </si>
  <si>
    <t>Physical gestalt</t>
  </si>
  <si>
    <t>Plant mimicry</t>
  </si>
  <si>
    <t>Plasticity</t>
  </si>
  <si>
    <t>Prehensile hair</t>
  </si>
  <si>
    <t>Self-duplication</t>
  </si>
  <si>
    <t>Self-vegetation</t>
  </si>
  <si>
    <t>Shapeshifting</t>
  </si>
  <si>
    <t>Shrinking</t>
  </si>
  <si>
    <t>Spirit gestalt</t>
  </si>
  <si>
    <t>Two-dimensionality</t>
  </si>
  <si>
    <t>Astral body</t>
  </si>
  <si>
    <t>Carrier wave</t>
  </si>
  <si>
    <t>Dimension travel</t>
  </si>
  <si>
    <t>Energy path</t>
  </si>
  <si>
    <t>Floating disc</t>
  </si>
  <si>
    <t>Gateway</t>
  </si>
  <si>
    <t>Gliding</t>
  </si>
  <si>
    <t>Hyper-digging</t>
  </si>
  <si>
    <t>Hyper-leaping</t>
  </si>
  <si>
    <t>Hyper-running</t>
  </si>
  <si>
    <t>Hyper-swimming</t>
  </si>
  <si>
    <t>Levitation</t>
  </si>
  <si>
    <t>Rocket</t>
  </si>
  <si>
    <t>Skywalk</t>
  </si>
  <si>
    <t>Spiderclimb</t>
  </si>
  <si>
    <t>Teleport self</t>
  </si>
  <si>
    <t>Teleport others</t>
  </si>
  <si>
    <t>Telereformation</t>
  </si>
  <si>
    <t>Time travel</t>
  </si>
  <si>
    <t>Troubleseeker</t>
  </si>
  <si>
    <t>True flight</t>
  </si>
  <si>
    <t>Version 1.01</t>
  </si>
  <si>
    <t>Water walking</t>
  </si>
  <si>
    <t>Whirlwind</t>
  </si>
  <si>
    <t>calc.pw.</t>
  </si>
  <si>
    <t>actual no.</t>
  </si>
  <si>
    <t>of pwers</t>
  </si>
  <si>
    <t>No. Of</t>
  </si>
  <si>
    <t>add powers</t>
  </si>
  <si>
    <t>Default</t>
  </si>
  <si>
    <t>Default power</t>
  </si>
  <si>
    <t>rank</t>
  </si>
  <si>
    <t>Night vision</t>
  </si>
  <si>
    <t>Active sonar</t>
  </si>
  <si>
    <t>water freedom</t>
  </si>
  <si>
    <t>Weapon skills</t>
  </si>
  <si>
    <t>Fighting skills</t>
  </si>
  <si>
    <t>Professional skills</t>
  </si>
  <si>
    <t>Scientific skills</t>
  </si>
  <si>
    <t>Mystic &amp; mental skills</t>
  </si>
  <si>
    <t>Other skills</t>
  </si>
  <si>
    <t>Guns</t>
  </si>
  <si>
    <t>Thrown weapons</t>
  </si>
  <si>
    <t>Bows</t>
  </si>
  <si>
    <t>Blunt weapons</t>
  </si>
  <si>
    <t>Sharp weapons</t>
  </si>
  <si>
    <t>Oriental weapons</t>
  </si>
  <si>
    <t>Marksman</t>
  </si>
  <si>
    <t>Weapons master</t>
  </si>
  <si>
    <t>Weapons specialist</t>
  </si>
  <si>
    <t>Martial arts A</t>
  </si>
  <si>
    <t>Martial arts B</t>
  </si>
  <si>
    <t>Martial arts C</t>
  </si>
  <si>
    <t>Martial arts D</t>
  </si>
  <si>
    <t>Martial arts E</t>
  </si>
  <si>
    <t>Wrestling</t>
  </si>
  <si>
    <t>Thrown objects</t>
  </si>
  <si>
    <t>Tumbling</t>
  </si>
  <si>
    <t>Acrobatics</t>
  </si>
  <si>
    <t>Medicine</t>
  </si>
  <si>
    <t>Law</t>
  </si>
  <si>
    <t>Law-enforcement</t>
  </si>
  <si>
    <t>Pilot</t>
  </si>
  <si>
    <t>Military</t>
  </si>
  <si>
    <t>Journalism</t>
  </si>
  <si>
    <t>Engineering</t>
  </si>
  <si>
    <t>Psychiatry</t>
  </si>
  <si>
    <t>Detective/espionage</t>
  </si>
  <si>
    <t>Business/finance</t>
  </si>
  <si>
    <t>Chemistry</t>
  </si>
  <si>
    <t>Biology</t>
  </si>
  <si>
    <t>Geology</t>
  </si>
  <si>
    <t>Genetics</t>
  </si>
  <si>
    <t>Archeology</t>
  </si>
  <si>
    <t>Physics</t>
  </si>
  <si>
    <t>Computers</t>
  </si>
  <si>
    <t>Electronics</t>
  </si>
  <si>
    <t>Trance</t>
  </si>
  <si>
    <t>Mesmerism &amp; hypnosis</t>
  </si>
  <si>
    <t>Sleight of hand</t>
  </si>
  <si>
    <t>Resist domination</t>
  </si>
  <si>
    <t>Mystic origin</t>
  </si>
  <si>
    <t>Occult lore</t>
  </si>
  <si>
    <t>Artist</t>
  </si>
  <si>
    <t>Languages</t>
  </si>
  <si>
    <t>First aid</t>
  </si>
  <si>
    <t>Repair/tinkering</t>
  </si>
  <si>
    <t>Trivia</t>
  </si>
  <si>
    <t>Preformer</t>
  </si>
  <si>
    <t>Animal training</t>
  </si>
  <si>
    <t>Heir of fortune</t>
  </si>
  <si>
    <t>Student</t>
  </si>
  <si>
    <t>Leadership</t>
  </si>
  <si>
    <t>Agility +1CS when dodging, evading &amp; escaping</t>
  </si>
  <si>
    <t>Reason rank Good for Law FEATs</t>
  </si>
  <si>
    <t>Control/Agility/Reason +1CS for aircrafts</t>
  </si>
  <si>
    <t>Money FEATs +1CS</t>
  </si>
  <si>
    <t>Military FEATs +1CS</t>
  </si>
  <si>
    <t>2 additional contacts</t>
  </si>
  <si>
    <t>Building FEATs +1CS</t>
  </si>
  <si>
    <t>Criminology</t>
  </si>
  <si>
    <t>Reason/Intuition +1CS for criminal practices</t>
  </si>
  <si>
    <t>FEATs involving mind +1CS</t>
  </si>
  <si>
    <t>Discovering clues +1CS</t>
  </si>
  <si>
    <t>Reason +1CS on chemistry</t>
  </si>
  <si>
    <t>Reason +1CS on biology</t>
  </si>
  <si>
    <t>Reason +1CS on geology</t>
  </si>
  <si>
    <t>Reason +1CS on archaeology</t>
  </si>
  <si>
    <t>Reason +1CS on physics</t>
  </si>
  <si>
    <t>Reason +1CS on computers</t>
  </si>
  <si>
    <t>Reason +1CS on electronics</t>
  </si>
  <si>
    <t>Regain Endurance, slowed metabolism</t>
  </si>
  <si>
    <t>Reason rank determines strength</t>
  </si>
  <si>
    <t>Agility +1CS on trickery with small objects</t>
  </si>
  <si>
    <t>Resist mental attacks, Psyche +1CS</t>
  </si>
  <si>
    <t>May have magical powers included</t>
  </si>
  <si>
    <t>Reason +1CS whith magical issues</t>
  </si>
  <si>
    <t>Artwork 1-10 weeks, increase Karma 10*weeks</t>
  </si>
  <si>
    <t>1 additional language at start</t>
  </si>
  <si>
    <t>Reason +1CS when repairing/modifying.</t>
  </si>
  <si>
    <t>Reason FEATs +1CS on specific subject</t>
  </si>
  <si>
    <t>Increase Karma 10 pts / week</t>
  </si>
  <si>
    <t>Animal-related powers +1CS</t>
  </si>
  <si>
    <t>Resources increased to Remarkable</t>
  </si>
  <si>
    <t>BOOYAH!</t>
  </si>
  <si>
    <t>Karmapool 50pt bonus</t>
  </si>
  <si>
    <t>Additional info</t>
  </si>
  <si>
    <t>Must have atleast 1 contact</t>
  </si>
  <si>
    <t>Popularity</t>
  </si>
  <si>
    <t>Start with only 1 contact, start resources Poor</t>
  </si>
  <si>
    <t>RES</t>
  </si>
  <si>
    <t>POP</t>
  </si>
  <si>
    <t>Resistance +1CS to physical attacks</t>
  </si>
  <si>
    <t>Initial popularity zero</t>
  </si>
  <si>
    <t>Initial popularity poor</t>
  </si>
  <si>
    <t>Zero resources, no initial contacts</t>
  </si>
  <si>
    <t>Physical contact causes feeble damage</t>
  </si>
  <si>
    <t>Fighting rank is zero, physical attacks agains -9CS</t>
  </si>
  <si>
    <t>Power rank</t>
  </si>
  <si>
    <t>throw</t>
  </si>
  <si>
    <t>Power</t>
  </si>
  <si>
    <t>value</t>
  </si>
  <si>
    <t>Power ranks</t>
  </si>
  <si>
    <t>Feeble</t>
  </si>
  <si>
    <t>Poor</t>
  </si>
  <si>
    <t>Typical</t>
  </si>
  <si>
    <t>Good</t>
  </si>
  <si>
    <t>Excellent</t>
  </si>
  <si>
    <t>Remarkable</t>
  </si>
  <si>
    <t>Incredible</t>
  </si>
  <si>
    <t>Amazing</t>
  </si>
  <si>
    <t>Monstrous</t>
  </si>
  <si>
    <t>Unearthly</t>
  </si>
  <si>
    <t>Shift-X</t>
  </si>
  <si>
    <t>talent</t>
  </si>
  <si>
    <t>calc tal.</t>
  </si>
  <si>
    <t>talent no.</t>
  </si>
  <si>
    <t>no. Of</t>
  </si>
  <si>
    <t>talents</t>
  </si>
  <si>
    <t>Reason +1CS on genealogy</t>
  </si>
  <si>
    <t>Range A</t>
  </si>
  <si>
    <t>Range B</t>
  </si>
  <si>
    <t>Range C</t>
  </si>
  <si>
    <t>Range D</t>
  </si>
  <si>
    <t>Range E</t>
  </si>
  <si>
    <t>1 area</t>
  </si>
  <si>
    <t>2 areas</t>
  </si>
  <si>
    <t>4 areas</t>
  </si>
  <si>
    <t>6 areas</t>
  </si>
  <si>
    <t>8 areas</t>
  </si>
  <si>
    <t>20 areas</t>
  </si>
  <si>
    <t>40 areas</t>
  </si>
  <si>
    <t>60 areas</t>
  </si>
  <si>
    <t>80 areas</t>
  </si>
  <si>
    <t>Shift-Y</t>
  </si>
  <si>
    <t>Shift-Z</t>
  </si>
  <si>
    <t>CL1000</t>
  </si>
  <si>
    <t>CL3000</t>
  </si>
  <si>
    <t>CL5000</t>
  </si>
  <si>
    <t>160 areas</t>
  </si>
  <si>
    <t>400 areas</t>
  </si>
  <si>
    <t>100 miles</t>
  </si>
  <si>
    <t>10,000 miles</t>
  </si>
  <si>
    <t>100,000 miles</t>
  </si>
  <si>
    <t>5 areas</t>
  </si>
  <si>
    <t>10 areas</t>
  </si>
  <si>
    <t>L-Speed/mph</t>
  </si>
  <si>
    <t>A-Speed/mph</t>
  </si>
  <si>
    <t>15 mph</t>
  </si>
  <si>
    <t>30 mph</t>
  </si>
  <si>
    <t>45 mph</t>
  </si>
  <si>
    <t>60 mph</t>
  </si>
  <si>
    <t>75 mph</t>
  </si>
  <si>
    <t>90 mph</t>
  </si>
  <si>
    <t>105 mph</t>
  </si>
  <si>
    <t>120 mph</t>
  </si>
  <si>
    <t>135 mph</t>
  </si>
  <si>
    <t>150 mph</t>
  </si>
  <si>
    <t>180 mph</t>
  </si>
  <si>
    <t>210 mph</t>
  </si>
  <si>
    <t>240 mph</t>
  </si>
  <si>
    <t>480 mph</t>
  </si>
  <si>
    <t>750 mph</t>
  </si>
  <si>
    <t>1,500 mph</t>
  </si>
  <si>
    <t>225 mph</t>
  </si>
  <si>
    <t>300 mph</t>
  </si>
  <si>
    <t>375 mph</t>
  </si>
  <si>
    <t>450 mph</t>
  </si>
  <si>
    <t>600 mph</t>
  </si>
  <si>
    <t>3,750 mph</t>
  </si>
  <si>
    <t>Hero can run at power rank speed for extended amounts of time. Hero's power rank decreases the perceived speed of other objects.</t>
  </si>
  <si>
    <t>Speed decreases -1CS per every 100' depth hero is swimming, objects may be towed with -1CS speed.</t>
  </si>
  <si>
    <t>Hero flies by means of a rocket-like exhaust that propels him.</t>
  </si>
  <si>
    <t>Hero can feely resist the pull of gravity, and he can never fall (unless unconscious).</t>
  </si>
  <si>
    <t>Hero can walk along an invisible path that he creates in the air. Provides power rank resistance against high winds and gravity control.</t>
  </si>
  <si>
    <t>Foot movement</t>
  </si>
  <si>
    <t>Hero can travel along vertical or inverted surfaces. Hero can move through dense vines or such using this power instead of agility.</t>
  </si>
  <si>
    <t xml:space="preserve">Power FEAT is required to see if hero is disorientated for 1 turn after teleportation. </t>
  </si>
  <si>
    <t>Hero can teleport any target except his own body. Moving targets require an Agility FEAT to catch.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</si>
</sst>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5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4" xfId="0" applyBorder="1" applyAlignment="1">
      <alignment horizontal="right"/>
    </xf>
    <xf numFmtId="1" fontId="0" fillId="0" borderId="1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0" fontId="5" fillId="3" borderId="9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0" fontId="6" fillId="0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/>
      <protection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 quotePrefix="1">
      <alignment horizontal="center"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6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/>
      <protection/>
    </xf>
    <xf numFmtId="0" fontId="10" fillId="3" borderId="9" xfId="0" applyFont="1" applyFill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NumberFormat="1" applyFont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/>
      <protection/>
    </xf>
    <xf numFmtId="0" fontId="8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/>
      <protection/>
    </xf>
    <xf numFmtId="0" fontId="6" fillId="0" borderId="15" xfId="0" applyFont="1" applyBorder="1" applyAlignment="1" applyProtection="1" quotePrefix="1">
      <alignment/>
      <protection/>
    </xf>
    <xf numFmtId="0" fontId="5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4" borderId="0" xfId="0" applyFill="1" applyAlignment="1">
      <alignment horizontal="center"/>
    </xf>
    <xf numFmtId="0" fontId="0" fillId="3" borderId="9" xfId="0" applyFill="1" applyBorder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0" fontId="6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4" fillId="5" borderId="9" xfId="0" applyFont="1" applyFill="1" applyBorder="1" applyAlignment="1">
      <alignment/>
    </xf>
    <xf numFmtId="0" fontId="0" fillId="5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b/>
        <i/>
      </font>
      <border/>
    </dxf>
    <dxf>
      <font>
        <color auto="1"/>
      </font>
      <fill>
        <patternFill>
          <bgColor rgb="FFFF9900"/>
        </patternFill>
      </fill>
      <border>
        <left style="dashDotDot">
          <color rgb="FF0000FF"/>
        </left>
        <right style="dashDotDot">
          <color rgb="FF0000FF"/>
        </right>
        <top style="dashDotDot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628650</xdr:colOff>
      <xdr:row>1</xdr:row>
      <xdr:rowOff>76200</xdr:rowOff>
    </xdr:to>
    <xdr:sp macro="[0]!Types">
      <xdr:nvSpPr>
        <xdr:cNvPr id="1" name="Rectangle 6"/>
        <xdr:cNvSpPr>
          <a:spLocks/>
        </xdr:cNvSpPr>
      </xdr:nvSpPr>
      <xdr:spPr>
        <a:xfrm>
          <a:off x="47625" y="47625"/>
          <a:ext cx="1047750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Character type</a:t>
          </a:r>
        </a:p>
      </xdr:txBody>
    </xdr:sp>
    <xdr:clientData/>
  </xdr:twoCellAnchor>
  <xdr:twoCellAnchor>
    <xdr:from>
      <xdr:col>0</xdr:col>
      <xdr:colOff>47625</xdr:colOff>
      <xdr:row>17</xdr:row>
      <xdr:rowOff>66675</xdr:rowOff>
    </xdr:from>
    <xdr:to>
      <xdr:col>1</xdr:col>
      <xdr:colOff>247650</xdr:colOff>
      <xdr:row>18</xdr:row>
      <xdr:rowOff>95250</xdr:rowOff>
    </xdr:to>
    <xdr:sp macro="[0]!PTC">
      <xdr:nvSpPr>
        <xdr:cNvPr id="2" name="Rectangle 20"/>
        <xdr:cNvSpPr>
          <a:spLocks/>
        </xdr:cNvSpPr>
      </xdr:nvSpPr>
      <xdr:spPr>
        <a:xfrm>
          <a:off x="47625" y="2752725"/>
          <a:ext cx="40957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P/T/C</a:t>
          </a:r>
        </a:p>
      </xdr:txBody>
    </xdr:sp>
    <xdr:clientData/>
  </xdr:twoCellAnchor>
  <xdr:twoCellAnchor>
    <xdr:from>
      <xdr:col>2</xdr:col>
      <xdr:colOff>523875</xdr:colOff>
      <xdr:row>22</xdr:row>
      <xdr:rowOff>85725</xdr:rowOff>
    </xdr:from>
    <xdr:to>
      <xdr:col>3</xdr:col>
      <xdr:colOff>581025</xdr:colOff>
      <xdr:row>23</xdr:row>
      <xdr:rowOff>114300</xdr:rowOff>
    </xdr:to>
    <xdr:sp macro="[0]!Power_ranks">
      <xdr:nvSpPr>
        <xdr:cNvPr id="3" name="Rectangle 22"/>
        <xdr:cNvSpPr>
          <a:spLocks/>
        </xdr:cNvSpPr>
      </xdr:nvSpPr>
      <xdr:spPr>
        <a:xfrm flipH="1">
          <a:off x="990600" y="3562350"/>
          <a:ext cx="79057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Power ranks throws</a:t>
          </a:r>
        </a:p>
      </xdr:txBody>
    </xdr:sp>
    <xdr:clientData/>
  </xdr:twoCellAnchor>
  <xdr:twoCellAnchor>
    <xdr:from>
      <xdr:col>1</xdr:col>
      <xdr:colOff>19050</xdr:colOff>
      <xdr:row>22</xdr:row>
      <xdr:rowOff>85725</xdr:rowOff>
    </xdr:from>
    <xdr:to>
      <xdr:col>2</xdr:col>
      <xdr:colOff>333375</xdr:colOff>
      <xdr:row>23</xdr:row>
      <xdr:rowOff>114300</xdr:rowOff>
    </xdr:to>
    <xdr:sp macro="[0]!Powers">
      <xdr:nvSpPr>
        <xdr:cNvPr id="4" name="Rectangle 25"/>
        <xdr:cNvSpPr>
          <a:spLocks/>
        </xdr:cNvSpPr>
      </xdr:nvSpPr>
      <xdr:spPr>
        <a:xfrm>
          <a:off x="228600" y="3562350"/>
          <a:ext cx="571500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Powers</a:t>
          </a:r>
        </a:p>
      </xdr:txBody>
    </xdr:sp>
    <xdr:clientData/>
  </xdr:twoCellAnchor>
  <xdr:twoCellAnchor>
    <xdr:from>
      <xdr:col>0</xdr:col>
      <xdr:colOff>47625</xdr:colOff>
      <xdr:row>4</xdr:row>
      <xdr:rowOff>85725</xdr:rowOff>
    </xdr:from>
    <xdr:to>
      <xdr:col>2</xdr:col>
      <xdr:colOff>133350</xdr:colOff>
      <xdr:row>5</xdr:row>
      <xdr:rowOff>104775</xdr:rowOff>
    </xdr:to>
    <xdr:sp macro="[0]!ranks">
      <xdr:nvSpPr>
        <xdr:cNvPr id="5" name="Rectangle 37"/>
        <xdr:cNvSpPr>
          <a:spLocks/>
        </xdr:cNvSpPr>
      </xdr:nvSpPr>
      <xdr:spPr>
        <a:xfrm>
          <a:off x="47625" y="695325"/>
          <a:ext cx="55245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Ranks</a:t>
          </a:r>
        </a:p>
      </xdr:txBody>
    </xdr:sp>
    <xdr:clientData/>
  </xdr:twoCellAnchor>
  <xdr:twoCellAnchor>
    <xdr:from>
      <xdr:col>0</xdr:col>
      <xdr:colOff>47625</xdr:colOff>
      <xdr:row>39</xdr:row>
      <xdr:rowOff>104775</xdr:rowOff>
    </xdr:from>
    <xdr:to>
      <xdr:col>2</xdr:col>
      <xdr:colOff>171450</xdr:colOff>
      <xdr:row>40</xdr:row>
      <xdr:rowOff>114300</xdr:rowOff>
    </xdr:to>
    <xdr:sp macro="[0]!Talents">
      <xdr:nvSpPr>
        <xdr:cNvPr id="6" name="Rectangle 39"/>
        <xdr:cNvSpPr>
          <a:spLocks/>
        </xdr:cNvSpPr>
      </xdr:nvSpPr>
      <xdr:spPr>
        <a:xfrm>
          <a:off x="47625" y="6305550"/>
          <a:ext cx="59055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Talents</a:t>
          </a:r>
        </a:p>
      </xdr:txBody>
    </xdr:sp>
    <xdr:clientData/>
  </xdr:twoCellAnchor>
  <xdr:twoCellAnchor>
    <xdr:from>
      <xdr:col>0</xdr:col>
      <xdr:colOff>47625</xdr:colOff>
      <xdr:row>47</xdr:row>
      <xdr:rowOff>85725</xdr:rowOff>
    </xdr:from>
    <xdr:to>
      <xdr:col>2</xdr:col>
      <xdr:colOff>200025</xdr:colOff>
      <xdr:row>48</xdr:row>
      <xdr:rowOff>114300</xdr:rowOff>
    </xdr:to>
    <xdr:sp macro="[0]!Contacts">
      <xdr:nvSpPr>
        <xdr:cNvPr id="7" name="Rectangle 40"/>
        <xdr:cNvSpPr>
          <a:spLocks/>
        </xdr:cNvSpPr>
      </xdr:nvSpPr>
      <xdr:spPr>
        <a:xfrm>
          <a:off x="47625" y="7505700"/>
          <a:ext cx="61912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Contacts</a:t>
          </a:r>
        </a:p>
      </xdr:txBody>
    </xdr:sp>
    <xdr:clientData/>
  </xdr:twoCellAnchor>
  <xdr:twoCellAnchor>
    <xdr:from>
      <xdr:col>0</xdr:col>
      <xdr:colOff>28575</xdr:colOff>
      <xdr:row>24</xdr:row>
      <xdr:rowOff>38100</xdr:rowOff>
    </xdr:from>
    <xdr:to>
      <xdr:col>0</xdr:col>
      <xdr:colOff>180975</xdr:colOff>
      <xdr:row>24</xdr:row>
      <xdr:rowOff>133350</xdr:rowOff>
    </xdr:to>
    <xdr:sp macro="[0]!pow1">
      <xdr:nvSpPr>
        <xdr:cNvPr id="8" name="Rectangle 41"/>
        <xdr:cNvSpPr>
          <a:spLocks/>
        </xdr:cNvSpPr>
      </xdr:nvSpPr>
      <xdr:spPr>
        <a:xfrm>
          <a:off x="28575" y="3819525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0</xdr:col>
      <xdr:colOff>180975</xdr:colOff>
      <xdr:row>25</xdr:row>
      <xdr:rowOff>133350</xdr:rowOff>
    </xdr:to>
    <xdr:sp macro="[0]!pow2">
      <xdr:nvSpPr>
        <xdr:cNvPr id="9" name="Rectangle 68"/>
        <xdr:cNvSpPr>
          <a:spLocks/>
        </xdr:cNvSpPr>
      </xdr:nvSpPr>
      <xdr:spPr>
        <a:xfrm>
          <a:off x="28575" y="3981450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38100</xdr:rowOff>
    </xdr:from>
    <xdr:to>
      <xdr:col>0</xdr:col>
      <xdr:colOff>180975</xdr:colOff>
      <xdr:row>26</xdr:row>
      <xdr:rowOff>133350</xdr:rowOff>
    </xdr:to>
    <xdr:sp macro="[0]!pow3">
      <xdr:nvSpPr>
        <xdr:cNvPr id="10" name="Rectangle 69"/>
        <xdr:cNvSpPr>
          <a:spLocks/>
        </xdr:cNvSpPr>
      </xdr:nvSpPr>
      <xdr:spPr>
        <a:xfrm>
          <a:off x="28575" y="4143375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38100</xdr:rowOff>
    </xdr:from>
    <xdr:to>
      <xdr:col>0</xdr:col>
      <xdr:colOff>180975</xdr:colOff>
      <xdr:row>27</xdr:row>
      <xdr:rowOff>133350</xdr:rowOff>
    </xdr:to>
    <xdr:sp macro="[0]!pow4">
      <xdr:nvSpPr>
        <xdr:cNvPr id="11" name="Rectangle 70"/>
        <xdr:cNvSpPr>
          <a:spLocks/>
        </xdr:cNvSpPr>
      </xdr:nvSpPr>
      <xdr:spPr>
        <a:xfrm>
          <a:off x="28575" y="4305300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38100</xdr:rowOff>
    </xdr:from>
    <xdr:to>
      <xdr:col>0</xdr:col>
      <xdr:colOff>180975</xdr:colOff>
      <xdr:row>28</xdr:row>
      <xdr:rowOff>133350</xdr:rowOff>
    </xdr:to>
    <xdr:sp macro="[0]!pow5">
      <xdr:nvSpPr>
        <xdr:cNvPr id="12" name="Rectangle 71"/>
        <xdr:cNvSpPr>
          <a:spLocks/>
        </xdr:cNvSpPr>
      </xdr:nvSpPr>
      <xdr:spPr>
        <a:xfrm>
          <a:off x="28575" y="4467225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38100</xdr:rowOff>
    </xdr:from>
    <xdr:to>
      <xdr:col>0</xdr:col>
      <xdr:colOff>180975</xdr:colOff>
      <xdr:row>29</xdr:row>
      <xdr:rowOff>133350</xdr:rowOff>
    </xdr:to>
    <xdr:sp macro="[0]!pow6">
      <xdr:nvSpPr>
        <xdr:cNvPr id="13" name="Rectangle 72"/>
        <xdr:cNvSpPr>
          <a:spLocks/>
        </xdr:cNvSpPr>
      </xdr:nvSpPr>
      <xdr:spPr>
        <a:xfrm>
          <a:off x="28575" y="4629150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38100</xdr:rowOff>
    </xdr:from>
    <xdr:to>
      <xdr:col>0</xdr:col>
      <xdr:colOff>180975</xdr:colOff>
      <xdr:row>30</xdr:row>
      <xdr:rowOff>133350</xdr:rowOff>
    </xdr:to>
    <xdr:sp macro="[0]!pow7">
      <xdr:nvSpPr>
        <xdr:cNvPr id="14" name="Rectangle 73"/>
        <xdr:cNvSpPr>
          <a:spLocks/>
        </xdr:cNvSpPr>
      </xdr:nvSpPr>
      <xdr:spPr>
        <a:xfrm>
          <a:off x="28575" y="4791075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38100</xdr:rowOff>
    </xdr:from>
    <xdr:to>
      <xdr:col>0</xdr:col>
      <xdr:colOff>180975</xdr:colOff>
      <xdr:row>31</xdr:row>
      <xdr:rowOff>133350</xdr:rowOff>
    </xdr:to>
    <xdr:sp macro="[0]!pow8">
      <xdr:nvSpPr>
        <xdr:cNvPr id="15" name="Rectangle 74"/>
        <xdr:cNvSpPr>
          <a:spLocks/>
        </xdr:cNvSpPr>
      </xdr:nvSpPr>
      <xdr:spPr>
        <a:xfrm>
          <a:off x="28575" y="4953000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38100</xdr:rowOff>
    </xdr:from>
    <xdr:to>
      <xdr:col>0</xdr:col>
      <xdr:colOff>180975</xdr:colOff>
      <xdr:row>32</xdr:row>
      <xdr:rowOff>133350</xdr:rowOff>
    </xdr:to>
    <xdr:sp macro="[0]!pow9">
      <xdr:nvSpPr>
        <xdr:cNvPr id="16" name="Rectangle 75"/>
        <xdr:cNvSpPr>
          <a:spLocks/>
        </xdr:cNvSpPr>
      </xdr:nvSpPr>
      <xdr:spPr>
        <a:xfrm>
          <a:off x="28575" y="5114925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38100</xdr:rowOff>
    </xdr:from>
    <xdr:to>
      <xdr:col>0</xdr:col>
      <xdr:colOff>180975</xdr:colOff>
      <xdr:row>33</xdr:row>
      <xdr:rowOff>133350</xdr:rowOff>
    </xdr:to>
    <xdr:sp macro="[0]!pow10">
      <xdr:nvSpPr>
        <xdr:cNvPr id="17" name="Rectangle 76"/>
        <xdr:cNvSpPr>
          <a:spLocks/>
        </xdr:cNvSpPr>
      </xdr:nvSpPr>
      <xdr:spPr>
        <a:xfrm>
          <a:off x="28575" y="5276850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38100</xdr:rowOff>
    </xdr:from>
    <xdr:to>
      <xdr:col>0</xdr:col>
      <xdr:colOff>180975</xdr:colOff>
      <xdr:row>34</xdr:row>
      <xdr:rowOff>133350</xdr:rowOff>
    </xdr:to>
    <xdr:sp macro="[0]!pow11">
      <xdr:nvSpPr>
        <xdr:cNvPr id="18" name="Rectangle 77"/>
        <xdr:cNvSpPr>
          <a:spLocks/>
        </xdr:cNvSpPr>
      </xdr:nvSpPr>
      <xdr:spPr>
        <a:xfrm>
          <a:off x="28575" y="5438775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38100</xdr:rowOff>
    </xdr:from>
    <xdr:to>
      <xdr:col>0</xdr:col>
      <xdr:colOff>180975</xdr:colOff>
      <xdr:row>35</xdr:row>
      <xdr:rowOff>133350</xdr:rowOff>
    </xdr:to>
    <xdr:sp macro="[0]!pow12">
      <xdr:nvSpPr>
        <xdr:cNvPr id="19" name="Rectangle 78"/>
        <xdr:cNvSpPr>
          <a:spLocks/>
        </xdr:cNvSpPr>
      </xdr:nvSpPr>
      <xdr:spPr>
        <a:xfrm>
          <a:off x="28575" y="5600700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38100</xdr:rowOff>
    </xdr:from>
    <xdr:to>
      <xdr:col>0</xdr:col>
      <xdr:colOff>180975</xdr:colOff>
      <xdr:row>36</xdr:row>
      <xdr:rowOff>133350</xdr:rowOff>
    </xdr:to>
    <xdr:sp macro="[0]!pow13">
      <xdr:nvSpPr>
        <xdr:cNvPr id="20" name="Rectangle 79"/>
        <xdr:cNvSpPr>
          <a:spLocks/>
        </xdr:cNvSpPr>
      </xdr:nvSpPr>
      <xdr:spPr>
        <a:xfrm>
          <a:off x="28575" y="5762625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38100</xdr:rowOff>
    </xdr:from>
    <xdr:to>
      <xdr:col>0</xdr:col>
      <xdr:colOff>180975</xdr:colOff>
      <xdr:row>37</xdr:row>
      <xdr:rowOff>133350</xdr:rowOff>
    </xdr:to>
    <xdr:sp macro="[0]!pow14">
      <xdr:nvSpPr>
        <xdr:cNvPr id="21" name="Rectangle 80"/>
        <xdr:cNvSpPr>
          <a:spLocks/>
        </xdr:cNvSpPr>
      </xdr:nvSpPr>
      <xdr:spPr>
        <a:xfrm>
          <a:off x="28575" y="5924550"/>
          <a:ext cx="1524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38100</xdr:rowOff>
    </xdr:from>
    <xdr:to>
      <xdr:col>10</xdr:col>
      <xdr:colOff>1028700</xdr:colOff>
      <xdr:row>1</xdr:row>
      <xdr:rowOff>66675</xdr:rowOff>
    </xdr:to>
    <xdr:sp macro="[0]!Everything">
      <xdr:nvSpPr>
        <xdr:cNvPr id="22" name="Rectangle 81"/>
        <xdr:cNvSpPr>
          <a:spLocks/>
        </xdr:cNvSpPr>
      </xdr:nvSpPr>
      <xdr:spPr>
        <a:xfrm>
          <a:off x="6581775" y="38100"/>
          <a:ext cx="96202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Roll everything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54"/>
  <sheetViews>
    <sheetView showGridLines="0" zoomScale="85" zoomScaleNormal="85" workbookViewId="0" topLeftCell="A1">
      <selection activeCell="M19" sqref="M19"/>
    </sheetView>
  </sheetViews>
  <sheetFormatPr defaultColWidth="9.140625" defaultRowHeight="12.75"/>
  <cols>
    <col min="1" max="1" width="14.28125" style="0" customWidth="1"/>
    <col min="2" max="2" width="7.140625" style="0" customWidth="1"/>
    <col min="3" max="3" width="2.8515625" style="0" customWidth="1"/>
    <col min="4" max="4" width="4.00390625" style="0" customWidth="1"/>
    <col min="10" max="10" width="10.7109375" style="0" customWidth="1"/>
    <col min="11" max="11" width="3.00390625" style="0" customWidth="1"/>
    <col min="17" max="17" width="13.00390625" style="0" customWidth="1"/>
    <col min="18" max="18" width="4.00390625" style="0" customWidth="1"/>
  </cols>
  <sheetData>
    <row r="1" spans="1:18" ht="12.75">
      <c r="A1" t="s">
        <v>683</v>
      </c>
      <c r="Q1" s="143" t="s">
        <v>1211</v>
      </c>
      <c r="R1" s="142"/>
    </row>
    <row r="2" ht="12.75">
      <c r="A2" t="s">
        <v>718</v>
      </c>
    </row>
    <row r="3" ht="12.75">
      <c r="A3" t="s">
        <v>719</v>
      </c>
    </row>
    <row r="4" ht="12.75">
      <c r="A4" t="s">
        <v>684</v>
      </c>
    </row>
    <row r="5" spans="1:13" ht="12.75">
      <c r="A5" s="5" t="s">
        <v>385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ht="12.75">
      <c r="A6" s="141" t="s">
        <v>685</v>
      </c>
    </row>
    <row r="7" ht="12.75">
      <c r="A7" t="s">
        <v>687</v>
      </c>
    </row>
    <row r="8" spans="1:2" ht="12.75">
      <c r="A8" s="159" t="s">
        <v>686</v>
      </c>
      <c r="B8" t="s">
        <v>691</v>
      </c>
    </row>
    <row r="9" spans="1:13" ht="12.75">
      <c r="A9" s="7" t="s">
        <v>692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7" t="s">
        <v>701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5" t="s">
        <v>737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2.75">
      <c r="A12" s="141" t="s">
        <v>688</v>
      </c>
    </row>
    <row r="13" ht="12.75">
      <c r="A13" t="s">
        <v>689</v>
      </c>
    </row>
    <row r="14" spans="1:2" ht="12.75">
      <c r="A14" s="159" t="s">
        <v>690</v>
      </c>
      <c r="B14" t="s">
        <v>691</v>
      </c>
    </row>
    <row r="15" ht="12.75">
      <c r="A15" t="s">
        <v>700</v>
      </c>
    </row>
    <row r="16" spans="1:5" ht="12.75">
      <c r="A16" t="s">
        <v>702</v>
      </c>
      <c r="D16" s="137">
        <v>1</v>
      </c>
      <c r="E16" t="s">
        <v>703</v>
      </c>
    </row>
    <row r="17" spans="1:5" ht="12.75">
      <c r="A17" t="s">
        <v>704</v>
      </c>
      <c r="D17" s="138"/>
      <c r="E17" t="s">
        <v>705</v>
      </c>
    </row>
    <row r="18" spans="1:13" ht="12.75">
      <c r="A18" s="5" t="s">
        <v>706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12.75">
      <c r="A19" s="141" t="s">
        <v>707</v>
      </c>
    </row>
    <row r="20" ht="12.75">
      <c r="A20" t="s">
        <v>708</v>
      </c>
    </row>
    <row r="21" spans="1:2" ht="12.75">
      <c r="A21" s="159" t="s">
        <v>709</v>
      </c>
      <c r="B21" t="s">
        <v>691</v>
      </c>
    </row>
    <row r="22" spans="1:13" ht="12.75">
      <c r="A22" s="7" t="s">
        <v>710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5" t="s">
        <v>715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ht="12.75">
      <c r="A24" s="141" t="s">
        <v>711</v>
      </c>
    </row>
    <row r="25" ht="12.75">
      <c r="A25" t="s">
        <v>712</v>
      </c>
    </row>
    <row r="26" spans="1:2" ht="12.75">
      <c r="A26" s="159" t="s">
        <v>946</v>
      </c>
      <c r="B26" t="s">
        <v>691</v>
      </c>
    </row>
    <row r="27" ht="12.75">
      <c r="A27" t="s">
        <v>713</v>
      </c>
    </row>
    <row r="28" ht="12.75">
      <c r="A28" t="s">
        <v>714</v>
      </c>
    </row>
    <row r="29" spans="1:13" ht="12.75">
      <c r="A29" s="5" t="s">
        <v>716</v>
      </c>
      <c r="B29" s="5"/>
      <c r="C29" s="5"/>
      <c r="D29" s="5"/>
      <c r="E29" s="5"/>
      <c r="F29" s="5"/>
      <c r="G29" s="5"/>
      <c r="H29" s="5"/>
      <c r="I29" s="5"/>
      <c r="J29" s="5"/>
      <c r="K29" s="160"/>
      <c r="L29" s="5" t="s">
        <v>717</v>
      </c>
      <c r="M29" s="5"/>
    </row>
    <row r="30" ht="12.75">
      <c r="A30" s="141" t="s">
        <v>720</v>
      </c>
    </row>
    <row r="31" spans="1:13" ht="12.75">
      <c r="A31" s="7" t="s">
        <v>721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159" t="s">
        <v>1332</v>
      </c>
      <c r="B32" s="7" t="s">
        <v>691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5" t="s">
        <v>722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ht="12.75">
      <c r="A34" s="141" t="s">
        <v>723</v>
      </c>
    </row>
    <row r="35" ht="12.75">
      <c r="A35" t="s">
        <v>724</v>
      </c>
    </row>
    <row r="36" spans="1:13" ht="12.75">
      <c r="A36" s="159" t="s">
        <v>948</v>
      </c>
      <c r="B36" s="5" t="s">
        <v>691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141" t="s">
        <v>725</v>
      </c>
    </row>
    <row r="38" ht="12.75">
      <c r="A38" t="s">
        <v>726</v>
      </c>
    </row>
    <row r="39" spans="1:13" ht="12.75">
      <c r="A39" s="159" t="s">
        <v>949</v>
      </c>
      <c r="B39" s="5" t="s">
        <v>691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ht="12.75">
      <c r="A40" s="141" t="s">
        <v>727</v>
      </c>
    </row>
    <row r="41" ht="12.75">
      <c r="A41" t="s">
        <v>728</v>
      </c>
    </row>
    <row r="42" spans="1:13" ht="12.75">
      <c r="A42" t="s">
        <v>729</v>
      </c>
      <c r="D42" s="138"/>
      <c r="E42" s="139" t="s">
        <v>731</v>
      </c>
      <c r="J42" s="140"/>
      <c r="K42" s="140"/>
      <c r="L42" s="140"/>
      <c r="M42" s="140"/>
    </row>
    <row r="43" ht="12.75">
      <c r="A43" t="s">
        <v>730</v>
      </c>
    </row>
    <row r="45" ht="12.75">
      <c r="A45" t="s">
        <v>732</v>
      </c>
    </row>
    <row r="46" spans="1:2" ht="12.75">
      <c r="A46" s="159" t="s">
        <v>733</v>
      </c>
      <c r="B46" t="s">
        <v>691</v>
      </c>
    </row>
    <row r="48" ht="12.75">
      <c r="A48" t="s">
        <v>734</v>
      </c>
    </row>
    <row r="49" ht="12.75">
      <c r="A49" t="s">
        <v>739</v>
      </c>
    </row>
    <row r="50" ht="12.75">
      <c r="A50" t="s">
        <v>740</v>
      </c>
    </row>
    <row r="51" ht="12.75">
      <c r="A51" t="s">
        <v>386</v>
      </c>
    </row>
    <row r="53" ht="12.75">
      <c r="A53" t="s">
        <v>735</v>
      </c>
    </row>
    <row r="54" ht="12.75">
      <c r="A54" t="s">
        <v>736</v>
      </c>
    </row>
  </sheetData>
  <sheetProtection sheet="1" objects="1" scenarios="1"/>
  <printOptions/>
  <pageMargins left="0.7480314960629921" right="0.7480314960629921" top="0.6299212598425197" bottom="0.669291338582677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L116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3.140625" style="48" customWidth="1"/>
    <col min="2" max="2" width="3.8515625" style="48" customWidth="1"/>
    <col min="3" max="3" width="11.00390625" style="48" customWidth="1"/>
    <col min="4" max="4" width="9.57421875" style="48" customWidth="1"/>
    <col min="5" max="5" width="4.8515625" style="49" customWidth="1"/>
    <col min="6" max="6" width="10.7109375" style="48" customWidth="1"/>
    <col min="7" max="8" width="11.7109375" style="48" customWidth="1"/>
    <col min="9" max="9" width="15.00390625" style="49" customWidth="1"/>
    <col min="10" max="10" width="16.140625" style="49" customWidth="1"/>
    <col min="11" max="11" width="21.00390625" style="48" customWidth="1"/>
    <col min="12" max="12" width="7.00390625" style="48" customWidth="1"/>
    <col min="13" max="17" width="9.140625" style="48" customWidth="1"/>
    <col min="18" max="18" width="10.57421875" style="48" customWidth="1"/>
    <col min="19" max="19" width="9.140625" style="48" customWidth="1"/>
    <col min="20" max="20" width="11.7109375" style="48" customWidth="1"/>
    <col min="21" max="16384" width="9.140625" style="48" customWidth="1"/>
  </cols>
  <sheetData>
    <row r="1" spans="1:16" ht="12">
      <c r="A1" s="53"/>
      <c r="B1" s="53"/>
      <c r="C1" s="53"/>
      <c r="D1" s="53"/>
      <c r="E1" s="53"/>
      <c r="F1" s="52" t="s">
        <v>799</v>
      </c>
      <c r="G1" s="155"/>
      <c r="H1" s="155"/>
      <c r="I1" s="51"/>
      <c r="J1" s="51"/>
      <c r="K1" s="53"/>
      <c r="M1" s="49" t="s">
        <v>950</v>
      </c>
      <c r="P1" s="48" t="s">
        <v>129</v>
      </c>
    </row>
    <row r="2" spans="1:18" ht="12">
      <c r="A2" s="53"/>
      <c r="B2" s="53"/>
      <c r="C2" s="53"/>
      <c r="D2" s="53"/>
      <c r="E2" s="53"/>
      <c r="F2" s="52" t="s">
        <v>229</v>
      </c>
      <c r="G2" s="144">
        <f>IF(ISBLANK($M$2),"",VLOOKUP($M$2,HPs!$B$4:$C$42,2))</f>
      </c>
      <c r="H2" s="53"/>
      <c r="I2" s="51"/>
      <c r="J2" s="51"/>
      <c r="K2" s="53"/>
      <c r="L2" s="48" t="s">
        <v>126</v>
      </c>
      <c r="M2" s="25"/>
      <c r="N2" s="48" t="s">
        <v>127</v>
      </c>
      <c r="O2" s="25"/>
      <c r="P2" s="48" t="e">
        <f>VLOOKUP(O2,HPs!D106:E108,2)</f>
        <v>#N/A</v>
      </c>
      <c r="Q2" s="48" t="s">
        <v>130</v>
      </c>
      <c r="R2" s="48" t="e">
        <f>INDEX(HPs!J106:L130,'Character sheet'!P3,'Character sheet'!P2)</f>
        <v>#N/A</v>
      </c>
    </row>
    <row r="3" spans="1:18" ht="12">
      <c r="A3" s="53"/>
      <c r="B3" s="53"/>
      <c r="C3" s="52" t="s">
        <v>846</v>
      </c>
      <c r="D3" s="53" t="e">
        <f>VLOOKUP(O11,HPs!$D$110:$E$111,2)</f>
        <v>#N/A</v>
      </c>
      <c r="E3" s="51"/>
      <c r="F3" s="52" t="s">
        <v>224</v>
      </c>
      <c r="G3" s="64" t="e">
        <f>VLOOKUP(O7,HPs!D115:E125,2)</f>
        <v>#N/A</v>
      </c>
      <c r="H3" s="53"/>
      <c r="I3" s="51"/>
      <c r="J3" s="51"/>
      <c r="K3" s="53"/>
      <c r="L3" s="48" t="s">
        <v>926</v>
      </c>
      <c r="M3" s="50">
        <f>IF(ISBLANK($M$2),"",VLOOKUP($M$2,HPs!$B$4:$D$42,3))</f>
      </c>
      <c r="N3" s="48" t="s">
        <v>128</v>
      </c>
      <c r="O3" s="25"/>
      <c r="P3" s="48" t="e">
        <f>VLOOKUP(O3,HPs!G106:H130,2)</f>
        <v>#N/A</v>
      </c>
      <c r="Q3" s="48" t="s">
        <v>131</v>
      </c>
      <c r="R3" s="48" t="e">
        <f>VLOOKUP(HPs!P49,HPs!E47:M57,9)</f>
        <v>#N/A</v>
      </c>
    </row>
    <row r="4" spans="1:18" ht="12">
      <c r="A4" s="53"/>
      <c r="B4" s="53"/>
      <c r="C4" s="52" t="s">
        <v>157</v>
      </c>
      <c r="D4" s="53" t="e">
        <f>VLOOKUP(O2,HPs!D106:F108,3)</f>
        <v>#N/A</v>
      </c>
      <c r="E4" s="51"/>
      <c r="F4" s="52" t="s">
        <v>160</v>
      </c>
      <c r="G4" s="53" t="e">
        <f>VLOOKUP(O4,HPs!N106:O111,2)</f>
        <v>#N/A</v>
      </c>
      <c r="H4" s="53"/>
      <c r="I4" s="51"/>
      <c r="J4" s="51"/>
      <c r="K4" s="53"/>
      <c r="N4" s="48" t="s">
        <v>154</v>
      </c>
      <c r="O4" s="25"/>
      <c r="Q4" s="48" t="s">
        <v>142</v>
      </c>
      <c r="R4" s="48" t="e">
        <f>VLOOKUP(M2,HPs!B4:T42,19)</f>
        <v>#N/A</v>
      </c>
    </row>
    <row r="5" spans="1:18" ht="12">
      <c r="A5" s="53"/>
      <c r="B5" s="53"/>
      <c r="C5" s="52" t="s">
        <v>159</v>
      </c>
      <c r="D5" s="53" t="e">
        <f>VLOOKUP(O3,HPs!G106:I130,3)</f>
        <v>#N/A</v>
      </c>
      <c r="E5" s="51"/>
      <c r="F5" s="52" t="s">
        <v>161</v>
      </c>
      <c r="G5" s="53" t="e">
        <f>VLOOKUP(O5,HPs!N114:O120,2)</f>
        <v>#N/A</v>
      </c>
      <c r="H5" s="53"/>
      <c r="I5" s="51"/>
      <c r="J5" s="51"/>
      <c r="K5" s="53"/>
      <c r="N5" s="48" t="s">
        <v>155</v>
      </c>
      <c r="O5" s="25"/>
      <c r="R5" s="48" t="e">
        <f>ROUND(R2*R3*R4,0)</f>
        <v>#N/A</v>
      </c>
    </row>
    <row r="6" spans="1:15" ht="12">
      <c r="A6" s="53"/>
      <c r="B6" s="53"/>
      <c r="C6" s="52" t="s">
        <v>158</v>
      </c>
      <c r="D6" s="53" t="e">
        <f>CONCATENATE(R5," lbs")</f>
        <v>#N/A</v>
      </c>
      <c r="E6" s="51"/>
      <c r="F6" s="52" t="s">
        <v>162</v>
      </c>
      <c r="G6" s="53" t="e">
        <f>CONCATENATE(VLOOKUP(O6,HPs!N123:O163,2)," years")</f>
        <v>#N/A</v>
      </c>
      <c r="H6" s="53"/>
      <c r="I6" s="51"/>
      <c r="J6" s="51"/>
      <c r="K6" s="53"/>
      <c r="N6" s="48" t="s">
        <v>156</v>
      </c>
      <c r="O6" s="25"/>
    </row>
    <row r="7" spans="1:15" ht="12">
      <c r="A7" s="55" t="s">
        <v>1316</v>
      </c>
      <c r="B7" s="55"/>
      <c r="C7" s="55"/>
      <c r="D7" s="55"/>
      <c r="E7" s="54"/>
      <c r="F7" s="55"/>
      <c r="G7" s="55"/>
      <c r="H7" s="55"/>
      <c r="I7" s="54"/>
      <c r="J7" s="54"/>
      <c r="K7" s="53"/>
      <c r="N7" s="48" t="s">
        <v>178</v>
      </c>
      <c r="O7" s="25"/>
    </row>
    <row r="8" spans="1:15" ht="12.75">
      <c r="A8" s="76" t="e">
        <f>VLOOKUP(M2,HPs!B4:V42,21)</f>
        <v>#N/A</v>
      </c>
      <c r="B8" s="77"/>
      <c r="C8" s="77"/>
      <c r="D8" s="77"/>
      <c r="E8" s="78"/>
      <c r="F8" s="78"/>
      <c r="G8" s="78"/>
      <c r="H8" s="78"/>
      <c r="I8" s="78"/>
      <c r="J8" s="79"/>
      <c r="K8" s="53"/>
      <c r="M8" s="48" t="s">
        <v>222</v>
      </c>
      <c r="N8" s="48" t="s">
        <v>223</v>
      </c>
      <c r="O8" s="25"/>
    </row>
    <row r="9" spans="1:20" ht="12.75">
      <c r="A9" s="60" t="s">
        <v>884</v>
      </c>
      <c r="B9" s="61"/>
      <c r="C9" s="61"/>
      <c r="D9" s="61"/>
      <c r="E9" s="145"/>
      <c r="F9" s="145" t="s">
        <v>930</v>
      </c>
      <c r="G9" s="145" t="s">
        <v>931</v>
      </c>
      <c r="H9" s="59"/>
      <c r="I9" s="61"/>
      <c r="J9" s="61"/>
      <c r="K9" s="53"/>
      <c r="N9" s="48" t="s">
        <v>213</v>
      </c>
      <c r="O9" s="25"/>
      <c r="S9" s="49" t="s">
        <v>924</v>
      </c>
      <c r="T9" s="49" t="s">
        <v>925</v>
      </c>
    </row>
    <row r="10" spans="1:20" ht="12.75">
      <c r="A10" s="82"/>
      <c r="B10" s="51" t="e">
        <f>VLOOKUP(M2,HPs!B4:O42,14)</f>
        <v>#N/A</v>
      </c>
      <c r="C10" s="51" t="s">
        <v>923</v>
      </c>
      <c r="D10" s="51" t="s">
        <v>800</v>
      </c>
      <c r="E10" s="81"/>
      <c r="F10" s="81" t="s">
        <v>412</v>
      </c>
      <c r="G10" s="81" t="s">
        <v>413</v>
      </c>
      <c r="H10" s="53"/>
      <c r="I10" s="51"/>
      <c r="J10" s="51"/>
      <c r="K10" s="53"/>
      <c r="M10" s="49" t="s">
        <v>950</v>
      </c>
      <c r="N10" s="48" t="s">
        <v>217</v>
      </c>
      <c r="O10" s="25"/>
      <c r="S10" s="49" t="s">
        <v>923</v>
      </c>
      <c r="T10" s="49" t="s">
        <v>1331</v>
      </c>
    </row>
    <row r="11" spans="1:21" ht="12.75">
      <c r="A11" s="56" t="s">
        <v>912</v>
      </c>
      <c r="B11" s="86"/>
      <c r="C11" s="85" t="e">
        <f>VLOOKUP(D11,HPs!$O$64:$S$80,5)</f>
        <v>#N/A</v>
      </c>
      <c r="D11" s="56" t="e">
        <f>IF(M2&lt;&gt;99,IF(SUM($B$11:$B$17)&gt;$B$10,"cheater!",VLOOKUP(HPs!$P47,HPs!$M$65:$O$80,3)),0)</f>
        <v>#N/A</v>
      </c>
      <c r="E11" s="81"/>
      <c r="F11" s="56" t="e">
        <f>(D11+D12+D13+D14)*(1+VLOOKUP(M2,HPs!B4:M42,12))</f>
        <v>#N/A</v>
      </c>
      <c r="G11" s="56" t="e">
        <f>D15+D16+D17</f>
        <v>#N/A</v>
      </c>
      <c r="H11" s="53"/>
      <c r="I11" s="51"/>
      <c r="J11" s="51"/>
      <c r="K11" s="53"/>
      <c r="L11" s="48" t="s">
        <v>912</v>
      </c>
      <c r="M11" s="25"/>
      <c r="N11" s="48" t="s">
        <v>843</v>
      </c>
      <c r="O11" s="25"/>
      <c r="S11" s="49" t="e">
        <f>LOOKUP($M11,HPs!$D$47:$D$55,HPs!$N$65:$N$73)</f>
        <v>#N/A</v>
      </c>
      <c r="T11" s="49" t="e">
        <f>LOOKUP($M11,HPs!$D$47:$D$55,HPs!$G$47:$G$55)</f>
        <v>#N/A</v>
      </c>
      <c r="U11" s="48" t="s">
        <v>912</v>
      </c>
    </row>
    <row r="12" spans="1:21" ht="12.75">
      <c r="A12" s="56" t="s">
        <v>913</v>
      </c>
      <c r="B12" s="86"/>
      <c r="C12" s="85" t="e">
        <f>VLOOKUP(D12,HPs!$O$64:$S$80,5)</f>
        <v>#N/A</v>
      </c>
      <c r="D12" s="56" t="e">
        <f>IF(SUM($B$11:$B$17)&gt;$B$10,"cheater!",VLOOKUP(HPs!$P48,HPs!$M$65:$O$80,3))</f>
        <v>#N/A</v>
      </c>
      <c r="E12" s="81"/>
      <c r="F12" s="82"/>
      <c r="G12" s="81"/>
      <c r="H12" s="53"/>
      <c r="I12" s="51"/>
      <c r="J12" s="51"/>
      <c r="K12" s="53"/>
      <c r="L12" s="48" t="s">
        <v>913</v>
      </c>
      <c r="M12" s="25"/>
      <c r="S12" s="49" t="e">
        <f>LOOKUP($M12,HPs!$D$47:$D$55,HPs!$N$65:$N$73)</f>
        <v>#N/A</v>
      </c>
      <c r="T12" s="49" t="e">
        <f>LOOKUP($M12,HPs!$D$47:$D$55,HPs!$G$47:$G$55)</f>
        <v>#N/A</v>
      </c>
      <c r="U12" s="48" t="s">
        <v>913</v>
      </c>
    </row>
    <row r="13" spans="1:21" ht="12.75">
      <c r="A13" s="56" t="s">
        <v>914</v>
      </c>
      <c r="B13" s="86"/>
      <c r="C13" s="85" t="e">
        <f>VLOOKUP(D13,HPs!$O$64:$S$80,5)</f>
        <v>#N/A</v>
      </c>
      <c r="D13" s="56" t="e">
        <f>IF(SUM($B$11:$B$17)&gt;$B$10,"cheater!",VLOOKUP(HPs!$P49,HPs!$M$65:$O$80,3))</f>
        <v>#N/A</v>
      </c>
      <c r="E13" s="81"/>
      <c r="F13" s="82"/>
      <c r="G13" s="81"/>
      <c r="H13" s="53"/>
      <c r="I13" s="51"/>
      <c r="J13" s="51"/>
      <c r="K13" s="53"/>
      <c r="L13" s="48" t="s">
        <v>914</v>
      </c>
      <c r="M13" s="25"/>
      <c r="O13" s="48" t="s">
        <v>951</v>
      </c>
      <c r="S13" s="49" t="e">
        <f>LOOKUP($M13,HPs!$D$47:$D$55,HPs!$N$65:$N$73)</f>
        <v>#N/A</v>
      </c>
      <c r="T13" s="49" t="e">
        <f>LOOKUP($M13,HPs!$D$47:$D$55,HPs!$G$47:$G$55)</f>
        <v>#N/A</v>
      </c>
      <c r="U13" s="48" t="s">
        <v>914</v>
      </c>
    </row>
    <row r="14" spans="1:21" ht="12.75">
      <c r="A14" s="56" t="s">
        <v>915</v>
      </c>
      <c r="B14" s="86"/>
      <c r="C14" s="85" t="e">
        <f>VLOOKUP(D14,HPs!$O$64:$S$80,5)</f>
        <v>#N/A</v>
      </c>
      <c r="D14" s="56" t="e">
        <f>IF(SUM($B$11:$B$17)&gt;$B$10,"cheater!",(VLOOKUP(HPs!$P50,HPs!$M$65:$O$80,3)+AL39))</f>
        <v>#N/A</v>
      </c>
      <c r="E14" s="81"/>
      <c r="F14" s="81" t="s">
        <v>132</v>
      </c>
      <c r="G14" s="81" t="s">
        <v>1318</v>
      </c>
      <c r="H14" s="53"/>
      <c r="I14" s="51"/>
      <c r="J14" s="51"/>
      <c r="K14" s="53"/>
      <c r="L14" s="48" t="s">
        <v>915</v>
      </c>
      <c r="M14" s="25"/>
      <c r="O14" s="49" t="s">
        <v>1320</v>
      </c>
      <c r="P14" s="25"/>
      <c r="Q14" s="49" t="e">
        <f>LOOKUP($P14,HPs!$D$47:$D$55,HPs!$N$65:$N$73)</f>
        <v>#N/A</v>
      </c>
      <c r="R14" s="49" t="e">
        <f>LOOKUP($P14,HPs!$D$47:$D$55,HPs!$G$47:$G$55)</f>
        <v>#N/A</v>
      </c>
      <c r="S14" s="49" t="e">
        <f>LOOKUP($M14,HPs!$D$47:$D$55,HPs!$N$65:$N$73)</f>
        <v>#N/A</v>
      </c>
      <c r="T14" s="49" t="e">
        <f>LOOKUP($M14,HPs!$D$47:$D$55,HPs!$G$47:$G$55)</f>
        <v>#N/A</v>
      </c>
      <c r="U14" s="48" t="s">
        <v>915</v>
      </c>
    </row>
    <row r="15" spans="1:21" ht="12.75">
      <c r="A15" s="56" t="s">
        <v>916</v>
      </c>
      <c r="B15" s="86"/>
      <c r="C15" s="85" t="e">
        <f>VLOOKUP(D15,HPs!$O$64:$S$80,5)</f>
        <v>#N/A</v>
      </c>
      <c r="D15" s="56" t="e">
        <f>IF(SUM($B$11:$B$17)&gt;$B$10,"cheater!",VLOOKUP(HPs!$P51,HPs!$M$65:$O$80,3))</f>
        <v>#N/A</v>
      </c>
      <c r="E15" s="81"/>
      <c r="F15" s="56" t="e">
        <f>VLOOKUP(HPs!$P$54,HPs!$M$64:$O$80,2)</f>
        <v>#N/A</v>
      </c>
      <c r="G15" s="56" t="e">
        <f>VLOOKUP(HPs!$P$55,HPs!$M$64:$O$80,2)</f>
        <v>#N/A</v>
      </c>
      <c r="H15" s="53"/>
      <c r="I15" s="51"/>
      <c r="J15" s="51"/>
      <c r="K15" s="53"/>
      <c r="L15" s="48" t="s">
        <v>916</v>
      </c>
      <c r="M15" s="25"/>
      <c r="O15" s="49" t="s">
        <v>1321</v>
      </c>
      <c r="P15" s="25"/>
      <c r="Q15" s="49" t="e">
        <f>LOOKUP($P15,HPs!$D$47:$D$55,HPs!$N$65:$N$73)</f>
        <v>#N/A</v>
      </c>
      <c r="R15" s="49" t="e">
        <f>LOOKUP($P15,HPs!$D$47:$D$55,HPs!$G$47:$G$55)</f>
        <v>#N/A</v>
      </c>
      <c r="S15" s="49" t="e">
        <f>LOOKUP($M15,HPs!$D$47:$D$55,HPs!$N$65:$N$73)</f>
        <v>#N/A</v>
      </c>
      <c r="T15" s="49" t="e">
        <f>LOOKUP($M15,HPs!$D$47:$D$55,HPs!$G$47:$G$55)</f>
        <v>#N/A</v>
      </c>
      <c r="U15" s="48" t="s">
        <v>916</v>
      </c>
    </row>
    <row r="16" spans="1:21" ht="12.75">
      <c r="A16" s="56" t="s">
        <v>917</v>
      </c>
      <c r="B16" s="86"/>
      <c r="C16" s="85" t="e">
        <f>VLOOKUP(D16,HPs!$O$64:$S$80,5)</f>
        <v>#N/A</v>
      </c>
      <c r="D16" s="56" t="e">
        <f>IF(SUM($B$11:$B$17)&gt;$B$10,"cheater!",VLOOKUP(HPs!$P52,HPs!$M$65:$O$80,3))</f>
        <v>#N/A</v>
      </c>
      <c r="E16" s="81"/>
      <c r="F16" s="56" t="e">
        <f>VLOOKUP(HPs!$P$54,HPs!$M$64:$O$80,3)</f>
        <v>#N/A</v>
      </c>
      <c r="G16" s="56" t="e">
        <f>VLOOKUP(HPs!$P$55,HPs!$M$64:$O$80,3)</f>
        <v>#N/A</v>
      </c>
      <c r="H16" s="53"/>
      <c r="I16" s="51"/>
      <c r="J16" s="81"/>
      <c r="K16" s="53"/>
      <c r="L16" s="48" t="s">
        <v>917</v>
      </c>
      <c r="M16" s="25"/>
      <c r="S16" s="49" t="e">
        <f>LOOKUP($M16,HPs!$D$47:$D$55,HPs!$N$65:$N$73)</f>
        <v>#N/A</v>
      </c>
      <c r="T16" s="49" t="e">
        <f>LOOKUP($M16,HPs!$D$47:$D$55,HPs!$G$47:$G$55)</f>
        <v>#N/A</v>
      </c>
      <c r="U16" s="48" t="s">
        <v>917</v>
      </c>
    </row>
    <row r="17" spans="1:21" ht="12.75">
      <c r="A17" s="56" t="s">
        <v>918</v>
      </c>
      <c r="B17" s="86"/>
      <c r="C17" s="85" t="e">
        <f>VLOOKUP(D17,HPs!$O$64:$S$80,5)</f>
        <v>#N/A</v>
      </c>
      <c r="D17" s="56" t="e">
        <f>IF(SUM($B$11:$B$17)&gt;$B$10,"cheater!",VLOOKUP(HPs!$P53,HPs!$M$65:$O$80,3))</f>
        <v>#N/A</v>
      </c>
      <c r="E17" s="81"/>
      <c r="F17" s="82"/>
      <c r="G17" s="82"/>
      <c r="H17" s="82"/>
      <c r="I17" s="81"/>
      <c r="J17" s="81"/>
      <c r="K17" s="53"/>
      <c r="L17" s="48" t="s">
        <v>918</v>
      </c>
      <c r="M17" s="25"/>
      <c r="S17" s="49" t="e">
        <f>LOOKUP($M17,HPs!$D$47:$D$55,HPs!$N$65:$N$73)</f>
        <v>#N/A</v>
      </c>
      <c r="T17" s="49" t="e">
        <f>LOOKUP($M17,HPs!$D$47:$D$55,HPs!$G$47:$G$55)</f>
        <v>#N/A</v>
      </c>
      <c r="U17" s="48" t="s">
        <v>918</v>
      </c>
    </row>
    <row r="18" spans="1:11" ht="12">
      <c r="A18" s="53"/>
      <c r="B18" s="53"/>
      <c r="C18" s="51"/>
      <c r="D18" s="51"/>
      <c r="E18" s="51"/>
      <c r="F18" s="53"/>
      <c r="G18" s="53"/>
      <c r="H18" s="53"/>
      <c r="I18" s="51"/>
      <c r="J18" s="51"/>
      <c r="K18" s="53"/>
    </row>
    <row r="19" spans="1:13" ht="12">
      <c r="A19" s="53"/>
      <c r="B19" s="53"/>
      <c r="C19" s="51" t="s">
        <v>951</v>
      </c>
      <c r="D19" s="51" t="s">
        <v>952</v>
      </c>
      <c r="E19" s="51"/>
      <c r="F19" s="52" t="s">
        <v>409</v>
      </c>
      <c r="G19" s="53"/>
      <c r="H19" s="53"/>
      <c r="I19" s="51"/>
      <c r="J19" s="51"/>
      <c r="K19" s="53"/>
      <c r="M19" s="49" t="s">
        <v>950</v>
      </c>
    </row>
    <row r="20" spans="1:13" ht="12.75">
      <c r="A20" s="53" t="s">
        <v>946</v>
      </c>
      <c r="B20" s="53"/>
      <c r="C20" s="56" t="e">
        <f>VLOOKUP($M20,HPs!$D$65:$J$76,2)+VLOOKUP(M2,HPs!B4:P42,15)</f>
        <v>#N/A</v>
      </c>
      <c r="D20" s="56" t="e">
        <f>VLOOKUP($M20,HPs!$D$65:$J$76,3)</f>
        <v>#N/A</v>
      </c>
      <c r="E20" s="51"/>
      <c r="F20" s="52" t="s">
        <v>225</v>
      </c>
      <c r="G20" s="149" t="e">
        <f>VLOOKUP(O8,HPs!D128:E134,2)</f>
        <v>#N/A</v>
      </c>
      <c r="H20" s="150"/>
      <c r="I20" s="153"/>
      <c r="J20" s="153"/>
      <c r="K20" s="53"/>
      <c r="M20" s="25"/>
    </row>
    <row r="21" spans="1:13" ht="12.75">
      <c r="A21" s="53" t="s">
        <v>948</v>
      </c>
      <c r="B21" s="53"/>
      <c r="C21" s="56" t="e">
        <f>VLOOKUP($M21,HPs!$D$65:$J$76,4)</f>
        <v>#N/A</v>
      </c>
      <c r="D21" s="56" t="e">
        <f>VLOOKUP($M21,HPs!$D$65:$J$76,5)</f>
        <v>#N/A</v>
      </c>
      <c r="E21" s="51"/>
      <c r="F21" s="52" t="s">
        <v>226</v>
      </c>
      <c r="G21" s="151" t="e">
        <f>VLOOKUP(O9,HPs!D137:E139,2)</f>
        <v>#N/A</v>
      </c>
      <c r="H21" s="152"/>
      <c r="I21" s="154"/>
      <c r="J21" s="154"/>
      <c r="K21" s="53"/>
      <c r="M21" s="25"/>
    </row>
    <row r="22" spans="1:29" ht="12.75">
      <c r="A22" s="53" t="s">
        <v>949</v>
      </c>
      <c r="B22" s="53"/>
      <c r="C22" s="56" t="e">
        <f>VLOOKUP($M22,HPs!$D$65:$J$76,6)</f>
        <v>#N/A</v>
      </c>
      <c r="D22" s="56" t="e">
        <f>VLOOKUP($M22,HPs!$D$65:$J$76,7)</f>
        <v>#N/A</v>
      </c>
      <c r="E22" s="51"/>
      <c r="F22" s="52" t="s">
        <v>227</v>
      </c>
      <c r="G22" s="151" t="e">
        <f>VLOOKUP(O10,HPs!D142:E145,2)</f>
        <v>#N/A</v>
      </c>
      <c r="H22" s="152"/>
      <c r="I22" s="154"/>
      <c r="J22" s="154"/>
      <c r="K22" s="53"/>
      <c r="M22" s="25"/>
      <c r="V22" s="48" t="s">
        <v>1215</v>
      </c>
      <c r="Z22" s="48" t="s">
        <v>1328</v>
      </c>
      <c r="AA22" s="48" t="s">
        <v>1330</v>
      </c>
      <c r="AB22" s="48" t="s">
        <v>923</v>
      </c>
      <c r="AC22" s="48" t="s">
        <v>922</v>
      </c>
    </row>
    <row r="23" spans="1:28" ht="12">
      <c r="A23" s="53"/>
      <c r="B23" s="53"/>
      <c r="C23" s="53"/>
      <c r="D23" s="53"/>
      <c r="E23" s="51"/>
      <c r="F23" s="53"/>
      <c r="G23" s="53"/>
      <c r="H23" s="53"/>
      <c r="I23" s="51"/>
      <c r="J23" s="51"/>
      <c r="K23" s="53"/>
      <c r="M23" s="89" t="s">
        <v>410</v>
      </c>
      <c r="N23" s="89"/>
      <c r="O23" s="48" t="s">
        <v>1013</v>
      </c>
      <c r="P23" s="48" t="s">
        <v>1214</v>
      </c>
      <c r="Q23" s="48" t="s">
        <v>1014</v>
      </c>
      <c r="V23" s="48" t="s">
        <v>1216</v>
      </c>
      <c r="Z23" s="48" t="s">
        <v>1329</v>
      </c>
      <c r="AA23" s="48" t="s">
        <v>923</v>
      </c>
      <c r="AB23" s="48" t="s">
        <v>1331</v>
      </c>
    </row>
    <row r="24" spans="1:38" ht="12">
      <c r="A24" s="53"/>
      <c r="B24" s="53"/>
      <c r="C24" s="53"/>
      <c r="D24" s="53"/>
      <c r="E24" s="64" t="s">
        <v>881</v>
      </c>
      <c r="F24" s="53"/>
      <c r="G24" s="53"/>
      <c r="H24" s="53"/>
      <c r="I24" s="51"/>
      <c r="J24" s="51"/>
      <c r="K24" s="53"/>
      <c r="M24" s="89" t="s">
        <v>1012</v>
      </c>
      <c r="N24" s="89" t="s">
        <v>408</v>
      </c>
      <c r="AD24" s="48" t="s">
        <v>371</v>
      </c>
      <c r="AE24" s="48" t="s">
        <v>372</v>
      </c>
      <c r="AF24" s="48" t="s">
        <v>371</v>
      </c>
      <c r="AG24" s="48" t="s">
        <v>372</v>
      </c>
      <c r="AH24" s="48" t="s">
        <v>373</v>
      </c>
      <c r="AI24" s="48" t="s">
        <v>373</v>
      </c>
      <c r="AJ24" s="48" t="s">
        <v>374</v>
      </c>
      <c r="AL24" s="48" t="s">
        <v>375</v>
      </c>
    </row>
    <row r="25" spans="1:38" ht="12.75">
      <c r="A25" s="53"/>
      <c r="B25" s="91">
        <f>IF(ISNUMBER($V25),VLOOKUP($O25,Powers!$C$2:$D$17,2,FALSE),"")</f>
      </c>
      <c r="C25" s="92">
        <f>IF(ISNUMBER($V25),VLOOKUP($X25,Powers!$D$53:$E$315,2,FALSE),"")</f>
      </c>
      <c r="D25" s="59"/>
      <c r="E25" s="56">
        <f>IF(ISNUMBER(V25),AB49,"")</f>
      </c>
      <c r="F25" s="85">
        <f>IF(ISNUMBER(V25),AA49,"")</f>
      </c>
      <c r="G25" s="60">
        <f>IF(ISNUMBER($V25),VLOOKUP($C25,Powers!$E$53:$G$315,3,),"")</f>
      </c>
      <c r="H25" s="59"/>
      <c r="I25" s="61"/>
      <c r="J25" s="62"/>
      <c r="K25" s="53">
        <v>1</v>
      </c>
      <c r="L25" s="48" t="e">
        <f aca="true" t="shared" si="0" ref="L25:L38">IF($K25&lt;=$C$20,$K25,"")</f>
        <v>#N/A</v>
      </c>
      <c r="M25" s="90"/>
      <c r="N25" s="90"/>
      <c r="O25" s="48" t="e">
        <f>VLOOKUP($M25,Powers!$B$2:$C$17,2)</f>
        <v>#N/A</v>
      </c>
      <c r="P25" s="48" t="e">
        <f aca="true" t="shared" si="1" ref="P25:P38">N25+(O25-1)*100</f>
        <v>#N/A</v>
      </c>
      <c r="Q25" s="48" t="e">
        <f>VLOOKUP($P25,Powers!$C$53:$D$315,2)</f>
        <v>#N/A</v>
      </c>
      <c r="R25" s="48">
        <f aca="true" t="shared" si="2" ref="R25:R38">IF(ISNUMBER(L25),1,-1)</f>
        <v>-1</v>
      </c>
      <c r="S25" s="48" t="e">
        <f>VLOOKUP(Q25,Powers!$J$2:$M$51,4,FALSE)</f>
        <v>#N/A</v>
      </c>
      <c r="T25" s="48">
        <f>IF(ISNUMBER(L25),IF(ISNUMBER(SUM(R25:S25)),SUM(R25:S25)/2,0),0)</f>
        <v>0</v>
      </c>
      <c r="V25" s="48" t="e">
        <f aca="true" t="shared" si="3" ref="V25:V38">IF(($K25+$T$39)&lt;=$C$20,($K25),"")</f>
        <v>#N/A</v>
      </c>
      <c r="W25" s="48">
        <f aca="true" t="shared" si="4" ref="W25:W38">IF(ISNUMBER(V25),O25,"")</f>
      </c>
      <c r="X25" s="48">
        <f>IF(ISNUMBER($V25),$Q25,"")</f>
      </c>
      <c r="Y25" s="48" t="e">
        <f>VLOOKUP(AA25,HPs!$N$65:$Q$80,4,FALSE)</f>
        <v>#N/A</v>
      </c>
      <c r="Z25" s="26"/>
      <c r="AA25" s="50" t="e">
        <f>VLOOKUP($AB25,HPs!$K$65:$O$80,4)</f>
        <v>#N/A</v>
      </c>
      <c r="AB25" s="49" t="e">
        <f>IF(OR(X25=221,X25=222),AK25,MAX(AF25:AG25,AI25))</f>
        <v>#N/A</v>
      </c>
      <c r="AC25" s="49" t="e">
        <f>VLOOKUP($Z25,HPs!$L$65:$O$75,4)</f>
        <v>#N/A</v>
      </c>
      <c r="AD25" s="48">
        <f>IF(OR($X25=3,$X25=11,X25=152),IF($AC25&lt;=$D$16,1,0),0)</f>
        <v>0</v>
      </c>
      <c r="AE25" s="48">
        <f>IF(OR($X25=6,$X25=14),IF($AC25&lt;=$D$17,1,0),0)</f>
        <v>0</v>
      </c>
      <c r="AF25" s="49" t="e">
        <f>IF(AD25=0,VLOOKUP($Z25,HPs!$L$65:$O$75,4),VLOOKUP(HPs!$P$52+1,HPs!$M$65:$O$80,3))</f>
        <v>#N/A</v>
      </c>
      <c r="AG25" s="49" t="e">
        <f>IF(AE25=0,VLOOKUP($Z25,HPs!$L$65:$O$75,4),VLOOKUP(HPs!$P$53+1,HPs!$M$65:$O$80,3))</f>
        <v>#N/A</v>
      </c>
      <c r="AH25" s="48">
        <f>IF($X25=249,IF($AC25&lt;=$D$13,1,0),0)</f>
        <v>0</v>
      </c>
      <c r="AI25" s="49" t="e">
        <f>IF(AH25=0,VLOOKUP($Z25,HPs!$L$65:$O$75,4),VLOOKUP(HPs!$P$49+1,HPs!$M$65:$O$80,3))</f>
        <v>#N/A</v>
      </c>
      <c r="AJ25" s="48" t="e">
        <f>IF(OR($X25=221,$X25=222),VLOOKUP($Z25,HPs!$R$47:$S$52,2)+4,VLOOKUP($AC25,HPs!$O$65:$Q$80,3))</f>
        <v>#N/A</v>
      </c>
      <c r="AK25" s="48" t="e">
        <f>VLOOKUP($AJ25,HPs!$M$65:$O$80,3)</f>
        <v>#N/A</v>
      </c>
      <c r="AL25" s="48">
        <f>IF(OR(X25=250,X25=260),E25,0)</f>
        <v>0</v>
      </c>
    </row>
    <row r="26" spans="1:38" ht="12.75">
      <c r="A26" s="53"/>
      <c r="B26" s="93">
        <f>IF(ISNUMBER($V26),VLOOKUP($O26,Powers!$C$2:$D$17,2,FALSE),"")</f>
      </c>
      <c r="C26" s="82">
        <f>IF(ISNUMBER($V26),VLOOKUP($X26,Powers!$D$53:$E$315,2,FALSE),"")</f>
      </c>
      <c r="D26" s="53"/>
      <c r="E26" s="56">
        <f aca="true" t="shared" si="5" ref="E26:E35">IF(ISNUMBER(V26),AB50,"")</f>
      </c>
      <c r="F26" s="85">
        <f aca="true" t="shared" si="6" ref="F26:F35">IF(ISNUMBER(V26),AA50,"")</f>
      </c>
      <c r="G26" s="64">
        <f>IF(ISNUMBER($V26),VLOOKUP($C26,Powers!$E$53:$G$315,3,),"")</f>
      </c>
      <c r="H26" s="53"/>
      <c r="I26" s="51"/>
      <c r="J26" s="65"/>
      <c r="K26" s="53">
        <v>2</v>
      </c>
      <c r="L26" s="48" t="e">
        <f t="shared" si="0"/>
        <v>#N/A</v>
      </c>
      <c r="M26" s="90"/>
      <c r="N26" s="90"/>
      <c r="O26" s="48" t="e">
        <f>VLOOKUP($M26,Powers!$B$2:$C$17,2)</f>
        <v>#N/A</v>
      </c>
      <c r="P26" s="48" t="e">
        <f t="shared" si="1"/>
        <v>#N/A</v>
      </c>
      <c r="Q26" s="48" t="e">
        <f>VLOOKUP($P26,Powers!$C$53:$D$315,2)</f>
        <v>#N/A</v>
      </c>
      <c r="R26" s="48">
        <f t="shared" si="2"/>
        <v>-1</v>
      </c>
      <c r="S26" s="48" t="e">
        <f>VLOOKUP(Q26,Powers!$J$2:$M$51,4,FALSE)</f>
        <v>#N/A</v>
      </c>
      <c r="T26" s="48">
        <f>IF(ISNUMBER(L26),IF(ISNUMBER(SUM(R26:S26)),SUM(R26:S26)/2,0),0)</f>
        <v>0</v>
      </c>
      <c r="V26" s="48" t="e">
        <f t="shared" si="3"/>
        <v>#N/A</v>
      </c>
      <c r="W26" s="48">
        <f t="shared" si="4"/>
      </c>
      <c r="X26" s="48">
        <f aca="true" t="shared" si="7" ref="X26:X38">IF(ISNUMBER($V26),$Q26,"")</f>
      </c>
      <c r="Y26" s="48" t="e">
        <f>VLOOKUP(AA26,HPs!$N$65:$Q$80,4,FALSE)</f>
        <v>#N/A</v>
      </c>
      <c r="Z26" s="26"/>
      <c r="AA26" s="50" t="e">
        <f>VLOOKUP($AB26,HPs!$K$65:$O$80,4)</f>
        <v>#N/A</v>
      </c>
      <c r="AB26" s="49" t="e">
        <f aca="true" t="shared" si="8" ref="AB26:AB38">IF(OR(X26=221,X26=222),AK26,MAX(AF26:AG26,AI26))</f>
        <v>#N/A</v>
      </c>
      <c r="AC26" s="49" t="e">
        <f>VLOOKUP($Z26,HPs!$L$65:$O$75,4)</f>
        <v>#N/A</v>
      </c>
      <c r="AD26" s="48">
        <f aca="true" t="shared" si="9" ref="AD26:AD38">IF(OR($X26=3,$X26=11,X26=152),IF($AC26&lt;=$D$16,1,0),0)</f>
        <v>0</v>
      </c>
      <c r="AE26" s="48">
        <f aca="true" t="shared" si="10" ref="AE26:AE38">IF(OR($X26=6,$X26=14),IF($AC26&lt;=$D$17,1,0),0)</f>
        <v>0</v>
      </c>
      <c r="AF26" s="49" t="e">
        <f>IF(AD26=0,VLOOKUP($Z26,HPs!$L$65:$O$75,4),VLOOKUP(HPs!$P$52+1,HPs!$M$65:$O$80,3))</f>
        <v>#N/A</v>
      </c>
      <c r="AG26" s="49" t="e">
        <f>IF(AE26=0,VLOOKUP($Z26,HPs!$L$65:$O$75,4),VLOOKUP(HPs!$P$53+1,HPs!$M$65:$O$80,3))</f>
        <v>#N/A</v>
      </c>
      <c r="AH26" s="48">
        <f aca="true" t="shared" si="11" ref="AH26:AH38">IF($X26=249,IF($AC26&lt;=$D$13,1,0),0)</f>
        <v>0</v>
      </c>
      <c r="AI26" s="49" t="e">
        <f>IF(AH26=0,VLOOKUP($Z26,HPs!$L$65:$O$75,4),VLOOKUP(HPs!$P$49+1,HPs!$M$65:$O$80,3))</f>
        <v>#N/A</v>
      </c>
      <c r="AJ26" s="48" t="e">
        <f>IF(OR($X26=221,$X26=222),VLOOKUP($Z26,HPs!$R$47:$S$52,2)+4,VLOOKUP($AC26,HPs!$O$65:$Q$80,3))</f>
        <v>#N/A</v>
      </c>
      <c r="AK26" s="48" t="e">
        <f>VLOOKUP($AJ26,HPs!$M$65:$O$80,3)</f>
        <v>#N/A</v>
      </c>
      <c r="AL26" s="48">
        <f aca="true" t="shared" si="12" ref="AL26:AL38">IF(OR(X26=250,X26=260),E26,0)</f>
        <v>0</v>
      </c>
    </row>
    <row r="27" spans="1:38" ht="12.75">
      <c r="A27" s="53"/>
      <c r="B27" s="93">
        <f>IF(ISNUMBER($V27),VLOOKUP($O27,Powers!$C$2:$D$17,2,FALSE),"")</f>
      </c>
      <c r="C27" s="82">
        <f>IF(ISNUMBER($V27),VLOOKUP($X27,Powers!$D$53:$E$315,2,FALSE),"")</f>
      </c>
      <c r="D27" s="53"/>
      <c r="E27" s="56">
        <f t="shared" si="5"/>
      </c>
      <c r="F27" s="85">
        <f t="shared" si="6"/>
      </c>
      <c r="G27" s="64">
        <f>IF(ISNUMBER($V27),VLOOKUP($C27,Powers!$E$53:$G$315,3,),"")</f>
      </c>
      <c r="H27" s="53"/>
      <c r="I27" s="51"/>
      <c r="J27" s="65"/>
      <c r="K27" s="53">
        <v>3</v>
      </c>
      <c r="L27" s="48" t="e">
        <f t="shared" si="0"/>
        <v>#N/A</v>
      </c>
      <c r="M27" s="90"/>
      <c r="N27" s="90"/>
      <c r="O27" s="48" t="e">
        <f>VLOOKUP($M27,Powers!$B$2:$C$17,2)</f>
        <v>#N/A</v>
      </c>
      <c r="P27" s="48" t="e">
        <f t="shared" si="1"/>
        <v>#N/A</v>
      </c>
      <c r="Q27" s="48" t="e">
        <f>VLOOKUP($P27,Powers!$C$53:$D$315,2)</f>
        <v>#N/A</v>
      </c>
      <c r="R27" s="48">
        <f t="shared" si="2"/>
        <v>-1</v>
      </c>
      <c r="S27" s="48" t="e">
        <f>VLOOKUP(Q27,Powers!$J$2:$M$51,4,FALSE)</f>
        <v>#N/A</v>
      </c>
      <c r="T27" s="48">
        <f>IF(ISNUMBER(L27),IF(ISNUMBER(SUM(R27:S27)),SUM(R27:S27)/2,0),0)</f>
        <v>0</v>
      </c>
      <c r="V27" s="48" t="e">
        <f t="shared" si="3"/>
        <v>#N/A</v>
      </c>
      <c r="W27" s="48">
        <f t="shared" si="4"/>
      </c>
      <c r="X27" s="48">
        <f t="shared" si="7"/>
      </c>
      <c r="Y27" s="48" t="e">
        <f>VLOOKUP(AA27,HPs!$N$65:$Q$80,4,FALSE)</f>
        <v>#N/A</v>
      </c>
      <c r="Z27" s="26"/>
      <c r="AA27" s="50" t="e">
        <f>VLOOKUP($AB27,HPs!$K$65:$O$80,4)</f>
        <v>#N/A</v>
      </c>
      <c r="AB27" s="49" t="e">
        <f t="shared" si="8"/>
        <v>#N/A</v>
      </c>
      <c r="AC27" s="49" t="e">
        <f>VLOOKUP($Z27,HPs!$L$65:$O$75,4)</f>
        <v>#N/A</v>
      </c>
      <c r="AD27" s="48">
        <f t="shared" si="9"/>
        <v>0</v>
      </c>
      <c r="AE27" s="48">
        <f t="shared" si="10"/>
        <v>0</v>
      </c>
      <c r="AF27" s="49" t="e">
        <f>IF(AD27=0,VLOOKUP($Z27,HPs!$L$65:$O$75,4),VLOOKUP(HPs!$P$52+1,HPs!$M$65:$O$80,3))</f>
        <v>#N/A</v>
      </c>
      <c r="AG27" s="49" t="e">
        <f>IF(AE27=0,VLOOKUP($Z27,HPs!$L$65:$O$75,4),VLOOKUP(HPs!$P$53+1,HPs!$M$65:$O$80,3))</f>
        <v>#N/A</v>
      </c>
      <c r="AH27" s="48">
        <f t="shared" si="11"/>
        <v>0</v>
      </c>
      <c r="AI27" s="49" t="e">
        <f>IF(AH27=0,VLOOKUP($Z27,HPs!$L$65:$O$75,4),VLOOKUP(HPs!$P$49+1,HPs!$M$65:$O$80,3))</f>
        <v>#N/A</v>
      </c>
      <c r="AJ27" s="48" t="e">
        <f>IF(OR($X27=221,$X27=222),VLOOKUP($Z27,HPs!$R$47:$S$52,2)+4,VLOOKUP($AC27,HPs!$O$65:$Q$80,3))</f>
        <v>#N/A</v>
      </c>
      <c r="AK27" s="48" t="e">
        <f>VLOOKUP($AJ27,HPs!$M$65:$O$80,3)</f>
        <v>#N/A</v>
      </c>
      <c r="AL27" s="48">
        <f t="shared" si="12"/>
        <v>0</v>
      </c>
    </row>
    <row r="28" spans="1:38" ht="12.75">
      <c r="A28" s="53"/>
      <c r="B28" s="93">
        <f>IF(ISNUMBER($V28),VLOOKUP($O28,Powers!$C$2:$D$17,2,FALSE),"")</f>
      </c>
      <c r="C28" s="82">
        <f>IF(ISNUMBER($V28),VLOOKUP($X28,Powers!$D$53:$E$315,2,FALSE),"")</f>
      </c>
      <c r="D28" s="53"/>
      <c r="E28" s="56">
        <f t="shared" si="5"/>
      </c>
      <c r="F28" s="85">
        <f t="shared" si="6"/>
      </c>
      <c r="G28" s="64">
        <f>IF(ISNUMBER($V28),VLOOKUP($C28,Powers!$E$53:$G$315,3,),"")</f>
      </c>
      <c r="H28" s="53"/>
      <c r="I28" s="51"/>
      <c r="J28" s="65"/>
      <c r="K28" s="53">
        <v>4</v>
      </c>
      <c r="L28" s="48" t="e">
        <f t="shared" si="0"/>
        <v>#N/A</v>
      </c>
      <c r="M28" s="90"/>
      <c r="N28" s="90"/>
      <c r="O28" s="48" t="e">
        <f>VLOOKUP($M28,Powers!$B$2:$C$17,2)</f>
        <v>#N/A</v>
      </c>
      <c r="P28" s="48" t="e">
        <f t="shared" si="1"/>
        <v>#N/A</v>
      </c>
      <c r="Q28" s="48" t="e">
        <f>VLOOKUP($P28,Powers!$C$53:$D$315,2)</f>
        <v>#N/A</v>
      </c>
      <c r="R28" s="48">
        <f t="shared" si="2"/>
        <v>-1</v>
      </c>
      <c r="S28" s="48" t="e">
        <f>VLOOKUP(Q28,Powers!$J$2:$M$51,4,FALSE)</f>
        <v>#N/A</v>
      </c>
      <c r="T28" s="48">
        <f aca="true" t="shared" si="13" ref="T28:T38">IF(ISNUMBER(L28),IF(ISNUMBER(SUM(R28:S28)),SUM(R28:S28)/2,0),0)</f>
        <v>0</v>
      </c>
      <c r="V28" s="48" t="e">
        <f t="shared" si="3"/>
        <v>#N/A</v>
      </c>
      <c r="W28" s="48">
        <f t="shared" si="4"/>
      </c>
      <c r="X28" s="48">
        <f t="shared" si="7"/>
      </c>
      <c r="Y28" s="48" t="e">
        <f>VLOOKUP(AA28,HPs!$N$65:$Q$80,4,FALSE)</f>
        <v>#N/A</v>
      </c>
      <c r="Z28" s="26"/>
      <c r="AA28" s="50" t="e">
        <f>VLOOKUP($AB28,HPs!$K$65:$O$80,4)</f>
        <v>#N/A</v>
      </c>
      <c r="AB28" s="49" t="e">
        <f t="shared" si="8"/>
        <v>#N/A</v>
      </c>
      <c r="AC28" s="49" t="e">
        <f>VLOOKUP($Z28,HPs!$L$65:$O$75,4)</f>
        <v>#N/A</v>
      </c>
      <c r="AD28" s="48">
        <f t="shared" si="9"/>
        <v>0</v>
      </c>
      <c r="AE28" s="48">
        <f t="shared" si="10"/>
        <v>0</v>
      </c>
      <c r="AF28" s="49" t="e">
        <f>IF(AD28=0,VLOOKUP($Z28,HPs!$L$65:$O$75,4),VLOOKUP(HPs!$P$52+1,HPs!$M$65:$O$80,3))</f>
        <v>#N/A</v>
      </c>
      <c r="AG28" s="49" t="e">
        <f>IF(AE28=0,VLOOKUP($Z28,HPs!$L$65:$O$75,4),VLOOKUP(HPs!$P$53+1,HPs!$M$65:$O$80,3))</f>
        <v>#N/A</v>
      </c>
      <c r="AH28" s="48">
        <f t="shared" si="11"/>
        <v>0</v>
      </c>
      <c r="AI28" s="49" t="e">
        <f>IF(AH28=0,VLOOKUP($Z28,HPs!$L$65:$O$75,4),VLOOKUP(HPs!$P$49+1,HPs!$M$65:$O$80,3))</f>
        <v>#N/A</v>
      </c>
      <c r="AJ28" s="48" t="e">
        <f>IF(OR($X28=221,$X28=222),VLOOKUP($Z28,HPs!$R$47:$S$52,2)+4,VLOOKUP($AC28,HPs!$O$65:$Q$80,3))</f>
        <v>#N/A</v>
      </c>
      <c r="AK28" s="48" t="e">
        <f>VLOOKUP($AJ28,HPs!$M$65:$O$80,3)</f>
        <v>#N/A</v>
      </c>
      <c r="AL28" s="48">
        <f t="shared" si="12"/>
        <v>0</v>
      </c>
    </row>
    <row r="29" spans="1:38" ht="12.75">
      <c r="A29" s="53"/>
      <c r="B29" s="93">
        <f>IF(ISNUMBER($V29),VLOOKUP($O29,Powers!$C$2:$D$17,2,FALSE),"")</f>
      </c>
      <c r="C29" s="82">
        <f>IF(ISNUMBER($V29),VLOOKUP($X29,Powers!$D$53:$E$315,2,FALSE),"")</f>
      </c>
      <c r="D29" s="53"/>
      <c r="E29" s="56">
        <f t="shared" si="5"/>
      </c>
      <c r="F29" s="85">
        <f t="shared" si="6"/>
      </c>
      <c r="G29" s="64">
        <f>IF(ISNUMBER($V29),VLOOKUP($C29,Powers!$E$53:$G$315,3,),"")</f>
      </c>
      <c r="H29" s="53"/>
      <c r="I29" s="51"/>
      <c r="J29" s="65"/>
      <c r="K29" s="53">
        <v>5</v>
      </c>
      <c r="L29" s="48" t="e">
        <f t="shared" si="0"/>
        <v>#N/A</v>
      </c>
      <c r="M29" s="90"/>
      <c r="N29" s="90"/>
      <c r="O29" s="48" t="e">
        <f>VLOOKUP($M29,Powers!$B$2:$C$17,2)</f>
        <v>#N/A</v>
      </c>
      <c r="P29" s="48" t="e">
        <f t="shared" si="1"/>
        <v>#N/A</v>
      </c>
      <c r="Q29" s="48" t="e">
        <f>VLOOKUP($P29,Powers!$C$53:$D$315,2)</f>
        <v>#N/A</v>
      </c>
      <c r="R29" s="48">
        <f t="shared" si="2"/>
        <v>-1</v>
      </c>
      <c r="S29" s="48" t="e">
        <f>VLOOKUP(Q29,Powers!$J$2:$M$51,4,FALSE)</f>
        <v>#N/A</v>
      </c>
      <c r="T29" s="48">
        <f t="shared" si="13"/>
        <v>0</v>
      </c>
      <c r="V29" s="48" t="e">
        <f t="shared" si="3"/>
        <v>#N/A</v>
      </c>
      <c r="W29" s="48">
        <f t="shared" si="4"/>
      </c>
      <c r="X29" s="48">
        <f t="shared" si="7"/>
      </c>
      <c r="Y29" s="48" t="e">
        <f>VLOOKUP(AA29,HPs!$N$65:$Q$80,4,FALSE)</f>
        <v>#N/A</v>
      </c>
      <c r="Z29" s="26"/>
      <c r="AA29" s="50" t="e">
        <f>VLOOKUP($AB29,HPs!$K$65:$O$80,4)</f>
        <v>#N/A</v>
      </c>
      <c r="AB29" s="49" t="e">
        <f t="shared" si="8"/>
        <v>#N/A</v>
      </c>
      <c r="AC29" s="49" t="e">
        <f>VLOOKUP($Z29,HPs!$L$65:$O$75,4)</f>
        <v>#N/A</v>
      </c>
      <c r="AD29" s="48">
        <f t="shared" si="9"/>
        <v>0</v>
      </c>
      <c r="AE29" s="48">
        <f t="shared" si="10"/>
        <v>0</v>
      </c>
      <c r="AF29" s="49" t="e">
        <f>IF(AD29=0,VLOOKUP($Z29,HPs!$L$65:$O$75,4),VLOOKUP(HPs!$P$52+1,HPs!$M$65:$O$80,3))</f>
        <v>#N/A</v>
      </c>
      <c r="AG29" s="49" t="e">
        <f>IF(AE29=0,VLOOKUP($Z29,HPs!$L$65:$O$75,4),VLOOKUP(HPs!$P$53+1,HPs!$M$65:$O$80,3))</f>
        <v>#N/A</v>
      </c>
      <c r="AH29" s="48">
        <f t="shared" si="11"/>
        <v>0</v>
      </c>
      <c r="AI29" s="49" t="e">
        <f>IF(AH29=0,VLOOKUP($Z29,HPs!$L$65:$O$75,4),VLOOKUP(HPs!$P$49+1,HPs!$M$65:$O$80,3))</f>
        <v>#N/A</v>
      </c>
      <c r="AJ29" s="48" t="e">
        <f>IF(OR($X29=221,$X29=222),VLOOKUP($Z29,HPs!$R$47:$S$52,2)+4,VLOOKUP($AC29,HPs!$O$65:$Q$80,3))</f>
        <v>#N/A</v>
      </c>
      <c r="AK29" s="48" t="e">
        <f>VLOOKUP($AJ29,HPs!$M$65:$O$80,3)</f>
        <v>#N/A</v>
      </c>
      <c r="AL29" s="48">
        <f t="shared" si="12"/>
        <v>0</v>
      </c>
    </row>
    <row r="30" spans="1:38" ht="12.75">
      <c r="A30" s="53"/>
      <c r="B30" s="93">
        <f>IF(ISNUMBER($V30),VLOOKUP($O30,Powers!$C$2:$D$17,2,FALSE),"")</f>
      </c>
      <c r="C30" s="82">
        <f>IF(ISNUMBER($V30),VLOOKUP($X30,Powers!$D$53:$E$315,2,FALSE),"")</f>
      </c>
      <c r="D30" s="53"/>
      <c r="E30" s="56">
        <f t="shared" si="5"/>
      </c>
      <c r="F30" s="85">
        <f t="shared" si="6"/>
      </c>
      <c r="G30" s="64">
        <f>IF(ISNUMBER($V30),VLOOKUP($C30,Powers!$E$53:$G$315,3,),"")</f>
      </c>
      <c r="H30" s="53"/>
      <c r="I30" s="51"/>
      <c r="J30" s="65"/>
      <c r="K30" s="53">
        <v>6</v>
      </c>
      <c r="L30" s="48" t="e">
        <f t="shared" si="0"/>
        <v>#N/A</v>
      </c>
      <c r="M30" s="90"/>
      <c r="N30" s="90"/>
      <c r="O30" s="48" t="e">
        <f>VLOOKUP($M30,Powers!$B$2:$C$17,2)</f>
        <v>#N/A</v>
      </c>
      <c r="P30" s="48" t="e">
        <f t="shared" si="1"/>
        <v>#N/A</v>
      </c>
      <c r="Q30" s="48" t="e">
        <f>VLOOKUP($P30,Powers!$C$53:$D$315,2)</f>
        <v>#N/A</v>
      </c>
      <c r="R30" s="48">
        <f t="shared" si="2"/>
        <v>-1</v>
      </c>
      <c r="S30" s="48" t="e">
        <f>VLOOKUP(Q30,Powers!$J$2:$M$51,4,FALSE)</f>
        <v>#N/A</v>
      </c>
      <c r="T30" s="48">
        <f t="shared" si="13"/>
        <v>0</v>
      </c>
      <c r="V30" s="48" t="e">
        <f t="shared" si="3"/>
        <v>#N/A</v>
      </c>
      <c r="W30" s="48">
        <f t="shared" si="4"/>
      </c>
      <c r="X30" s="48">
        <f t="shared" si="7"/>
      </c>
      <c r="Y30" s="48" t="e">
        <f>VLOOKUP(AA30,HPs!$N$65:$Q$80,4,FALSE)</f>
        <v>#N/A</v>
      </c>
      <c r="Z30" s="26"/>
      <c r="AA30" s="50" t="e">
        <f>VLOOKUP($AB30,HPs!$K$65:$O$80,4)</f>
        <v>#N/A</v>
      </c>
      <c r="AB30" s="49" t="e">
        <f t="shared" si="8"/>
        <v>#N/A</v>
      </c>
      <c r="AC30" s="49" t="e">
        <f>VLOOKUP($Z30,HPs!$L$65:$O$75,4)</f>
        <v>#N/A</v>
      </c>
      <c r="AD30" s="48">
        <f t="shared" si="9"/>
        <v>0</v>
      </c>
      <c r="AE30" s="48">
        <f t="shared" si="10"/>
        <v>0</v>
      </c>
      <c r="AF30" s="49" t="e">
        <f>IF(AD30=0,VLOOKUP($Z30,HPs!$L$65:$O$75,4),VLOOKUP(HPs!$P$52+1,HPs!$M$65:$O$80,3))</f>
        <v>#N/A</v>
      </c>
      <c r="AG30" s="49" t="e">
        <f>IF(AE30=0,VLOOKUP($Z30,HPs!$L$65:$O$75,4),VLOOKUP(HPs!$P$53+1,HPs!$M$65:$O$80,3))</f>
        <v>#N/A</v>
      </c>
      <c r="AH30" s="48">
        <f t="shared" si="11"/>
        <v>0</v>
      </c>
      <c r="AI30" s="49" t="e">
        <f>IF(AH30=0,VLOOKUP($Z30,HPs!$L$65:$O$75,4),VLOOKUP(HPs!$P$49+1,HPs!$M$65:$O$80,3))</f>
        <v>#N/A</v>
      </c>
      <c r="AJ30" s="48" t="e">
        <f>IF(OR($X30=221,$X30=222),VLOOKUP($Z30,HPs!$R$47:$S$52,2)+4,VLOOKUP($AC30,HPs!$O$65:$Q$80,3))</f>
        <v>#N/A</v>
      </c>
      <c r="AK30" s="48" t="e">
        <f>VLOOKUP($AJ30,HPs!$M$65:$O$80,3)</f>
        <v>#N/A</v>
      </c>
      <c r="AL30" s="48">
        <f t="shared" si="12"/>
        <v>0</v>
      </c>
    </row>
    <row r="31" spans="1:38" ht="12.75">
      <c r="A31" s="53"/>
      <c r="B31" s="93">
        <f>IF(ISNUMBER($V31),VLOOKUP($O31,Powers!$C$2:$D$17,2,FALSE),"")</f>
      </c>
      <c r="C31" s="82">
        <f>IF(ISNUMBER($V31),VLOOKUP($X31,Powers!$D$53:$E$315,2,FALSE),"")</f>
      </c>
      <c r="D31" s="53"/>
      <c r="E31" s="56">
        <f t="shared" si="5"/>
      </c>
      <c r="F31" s="85">
        <f t="shared" si="6"/>
      </c>
      <c r="G31" s="64">
        <f>IF(ISNUMBER($V31),VLOOKUP($C31,Powers!$E$53:$G$315,3,),"")</f>
      </c>
      <c r="H31" s="53"/>
      <c r="I31" s="51"/>
      <c r="J31" s="65"/>
      <c r="K31" s="53">
        <v>7</v>
      </c>
      <c r="L31" s="48" t="e">
        <f t="shared" si="0"/>
        <v>#N/A</v>
      </c>
      <c r="M31" s="90"/>
      <c r="N31" s="90"/>
      <c r="O31" s="48" t="e">
        <f>VLOOKUP($M31,Powers!$B$2:$C$17,2)</f>
        <v>#N/A</v>
      </c>
      <c r="P31" s="48" t="e">
        <f t="shared" si="1"/>
        <v>#N/A</v>
      </c>
      <c r="Q31" s="48" t="e">
        <f>VLOOKUP($P31,Powers!$C$53:$D$315,2)</f>
        <v>#N/A</v>
      </c>
      <c r="R31" s="48">
        <f t="shared" si="2"/>
        <v>-1</v>
      </c>
      <c r="S31" s="48" t="e">
        <f>VLOOKUP(Q31,Powers!$J$2:$M$51,4,FALSE)</f>
        <v>#N/A</v>
      </c>
      <c r="T31" s="48">
        <f t="shared" si="13"/>
        <v>0</v>
      </c>
      <c r="V31" s="48" t="e">
        <f t="shared" si="3"/>
        <v>#N/A</v>
      </c>
      <c r="W31" s="48">
        <f t="shared" si="4"/>
      </c>
      <c r="X31" s="48">
        <f t="shared" si="7"/>
      </c>
      <c r="Y31" s="48" t="e">
        <f>VLOOKUP(AA31,HPs!$N$65:$Q$80,4,FALSE)</f>
        <v>#N/A</v>
      </c>
      <c r="Z31" s="26"/>
      <c r="AA31" s="50" t="e">
        <f>VLOOKUP($AB31,HPs!$K$65:$O$80,4)</f>
        <v>#N/A</v>
      </c>
      <c r="AB31" s="49" t="e">
        <f t="shared" si="8"/>
        <v>#N/A</v>
      </c>
      <c r="AC31" s="49" t="e">
        <f>VLOOKUP($Z31,HPs!$L$65:$O$75,4)</f>
        <v>#N/A</v>
      </c>
      <c r="AD31" s="48">
        <f t="shared" si="9"/>
        <v>0</v>
      </c>
      <c r="AE31" s="48">
        <f t="shared" si="10"/>
        <v>0</v>
      </c>
      <c r="AF31" s="49" t="e">
        <f>IF(AD31=0,VLOOKUP($Z31,HPs!$L$65:$O$75,4),VLOOKUP(HPs!$P$52+1,HPs!$M$65:$O$80,3))</f>
        <v>#N/A</v>
      </c>
      <c r="AG31" s="49" t="e">
        <f>IF(AE31=0,VLOOKUP($Z31,HPs!$L$65:$O$75,4),VLOOKUP(HPs!$P$53+1,HPs!$M$65:$O$80,3))</f>
        <v>#N/A</v>
      </c>
      <c r="AH31" s="48">
        <f t="shared" si="11"/>
        <v>0</v>
      </c>
      <c r="AI31" s="49" t="e">
        <f>IF(AH31=0,VLOOKUP($Z31,HPs!$L$65:$O$75,4),VLOOKUP(HPs!$P$49+1,HPs!$M$65:$O$80,3))</f>
        <v>#N/A</v>
      </c>
      <c r="AJ31" s="48" t="e">
        <f>IF(OR($X31=221,$X31=222),VLOOKUP($Z31,HPs!$R$47:$S$52,2)+4,VLOOKUP($AC31,HPs!$O$65:$Q$80,3))</f>
        <v>#N/A</v>
      </c>
      <c r="AK31" s="48" t="e">
        <f>VLOOKUP($AJ31,HPs!$M$65:$O$80,3)</f>
        <v>#N/A</v>
      </c>
      <c r="AL31" s="48">
        <f t="shared" si="12"/>
        <v>0</v>
      </c>
    </row>
    <row r="32" spans="1:38" ht="12.75">
      <c r="A32" s="53"/>
      <c r="B32" s="93">
        <f>IF(ISNUMBER($V32),VLOOKUP($O32,Powers!$C$2:$D$17,2,FALSE),"")</f>
      </c>
      <c r="C32" s="82">
        <f>IF(ISNUMBER($V32),VLOOKUP($X32,Powers!$D$53:$E$315,2,FALSE),"")</f>
      </c>
      <c r="D32" s="53"/>
      <c r="E32" s="56">
        <f t="shared" si="5"/>
      </c>
      <c r="F32" s="85">
        <f t="shared" si="6"/>
      </c>
      <c r="G32" s="64">
        <f>IF(ISNUMBER($V32),VLOOKUP($C32,Powers!$E$53:$G$315,3,),"")</f>
      </c>
      <c r="H32" s="53"/>
      <c r="I32" s="51"/>
      <c r="J32" s="65"/>
      <c r="K32" s="53">
        <v>8</v>
      </c>
      <c r="L32" s="48" t="e">
        <f t="shared" si="0"/>
        <v>#N/A</v>
      </c>
      <c r="M32" s="90"/>
      <c r="N32" s="90"/>
      <c r="O32" s="48" t="e">
        <f>VLOOKUP($M32,Powers!$B$2:$C$17,2)</f>
        <v>#N/A</v>
      </c>
      <c r="P32" s="48" t="e">
        <f t="shared" si="1"/>
        <v>#N/A</v>
      </c>
      <c r="Q32" s="48" t="e">
        <f>VLOOKUP($P32,Powers!$C$53:$D$315,2)</f>
        <v>#N/A</v>
      </c>
      <c r="R32" s="48">
        <f t="shared" si="2"/>
        <v>-1</v>
      </c>
      <c r="S32" s="48" t="e">
        <f>VLOOKUP(Q32,Powers!$J$2:$M$51,4,FALSE)</f>
        <v>#N/A</v>
      </c>
      <c r="T32" s="48">
        <f t="shared" si="13"/>
        <v>0</v>
      </c>
      <c r="V32" s="48" t="e">
        <f t="shared" si="3"/>
        <v>#N/A</v>
      </c>
      <c r="W32" s="48">
        <f t="shared" si="4"/>
      </c>
      <c r="X32" s="48">
        <f t="shared" si="7"/>
      </c>
      <c r="Y32" s="48" t="e">
        <f>VLOOKUP(AA32,HPs!$N$65:$Q$80,4,FALSE)</f>
        <v>#N/A</v>
      </c>
      <c r="Z32" s="26"/>
      <c r="AA32" s="50" t="e">
        <f>VLOOKUP($AB32,HPs!$K$65:$O$80,4)</f>
        <v>#N/A</v>
      </c>
      <c r="AB32" s="49" t="e">
        <f t="shared" si="8"/>
        <v>#N/A</v>
      </c>
      <c r="AC32" s="49" t="e">
        <f>VLOOKUP($Z32,HPs!$L$65:$O$75,4)</f>
        <v>#N/A</v>
      </c>
      <c r="AD32" s="48">
        <f t="shared" si="9"/>
        <v>0</v>
      </c>
      <c r="AE32" s="48">
        <f t="shared" si="10"/>
        <v>0</v>
      </c>
      <c r="AF32" s="49" t="e">
        <f>IF(AD32=0,VLOOKUP($Z32,HPs!$L$65:$O$75,4),VLOOKUP(HPs!$P$52+1,HPs!$M$65:$O$80,3))</f>
        <v>#N/A</v>
      </c>
      <c r="AG32" s="49" t="e">
        <f>IF(AE32=0,VLOOKUP($Z32,HPs!$L$65:$O$75,4),VLOOKUP(HPs!$P$53+1,HPs!$M$65:$O$80,3))</f>
        <v>#N/A</v>
      </c>
      <c r="AH32" s="48">
        <f t="shared" si="11"/>
        <v>0</v>
      </c>
      <c r="AI32" s="49" t="e">
        <f>IF(AH32=0,VLOOKUP($Z32,HPs!$L$65:$O$75,4),VLOOKUP(HPs!$P$49+1,HPs!$M$65:$O$80,3))</f>
        <v>#N/A</v>
      </c>
      <c r="AJ32" s="48" t="e">
        <f>IF(OR($X32=221,$X32=222),VLOOKUP($Z32,HPs!$R$47:$S$52,2)+4,VLOOKUP($AC32,HPs!$O$65:$Q$80,3))</f>
        <v>#N/A</v>
      </c>
      <c r="AK32" s="48" t="e">
        <f>VLOOKUP($AJ32,HPs!$M$65:$O$80,3)</f>
        <v>#N/A</v>
      </c>
      <c r="AL32" s="48">
        <f t="shared" si="12"/>
        <v>0</v>
      </c>
    </row>
    <row r="33" spans="1:38" ht="12.75">
      <c r="A33" s="53"/>
      <c r="B33" s="93">
        <f>IF(ISNUMBER($V33),VLOOKUP($O33,Powers!$C$2:$D$17,2,FALSE),"")</f>
      </c>
      <c r="C33" s="82">
        <f>IF(ISNUMBER($V33),VLOOKUP($X33,Powers!$D$53:$E$315,2,FALSE),"")</f>
      </c>
      <c r="D33" s="53"/>
      <c r="E33" s="56">
        <f t="shared" si="5"/>
      </c>
      <c r="F33" s="85">
        <f t="shared" si="6"/>
      </c>
      <c r="G33" s="64">
        <f>IF(ISNUMBER($V33),VLOOKUP($C33,Powers!$E$53:$G$315,3,),"")</f>
      </c>
      <c r="H33" s="53"/>
      <c r="I33" s="51"/>
      <c r="J33" s="65"/>
      <c r="K33" s="53">
        <v>9</v>
      </c>
      <c r="L33" s="48" t="e">
        <f t="shared" si="0"/>
        <v>#N/A</v>
      </c>
      <c r="M33" s="90"/>
      <c r="N33" s="90"/>
      <c r="O33" s="48" t="e">
        <f>VLOOKUP($M33,Powers!$B$2:$C$17,2)</f>
        <v>#N/A</v>
      </c>
      <c r="P33" s="48" t="e">
        <f t="shared" si="1"/>
        <v>#N/A</v>
      </c>
      <c r="Q33" s="48" t="e">
        <f>VLOOKUP($P33,Powers!$C$53:$D$315,2)</f>
        <v>#N/A</v>
      </c>
      <c r="R33" s="48">
        <f t="shared" si="2"/>
        <v>-1</v>
      </c>
      <c r="S33" s="48" t="e">
        <f>VLOOKUP(Q33,Powers!$J$2:$M$51,4,FALSE)</f>
        <v>#N/A</v>
      </c>
      <c r="T33" s="48">
        <f t="shared" si="13"/>
        <v>0</v>
      </c>
      <c r="V33" s="48" t="e">
        <f t="shared" si="3"/>
        <v>#N/A</v>
      </c>
      <c r="W33" s="48">
        <f t="shared" si="4"/>
      </c>
      <c r="X33" s="48">
        <f t="shared" si="7"/>
      </c>
      <c r="Y33" s="48" t="e">
        <f>VLOOKUP(AA33,HPs!$N$65:$Q$80,4,FALSE)</f>
        <v>#N/A</v>
      </c>
      <c r="Z33" s="26"/>
      <c r="AA33" s="50" t="e">
        <f>VLOOKUP($AB33,HPs!$K$65:$O$80,4)</f>
        <v>#N/A</v>
      </c>
      <c r="AB33" s="49" t="e">
        <f t="shared" si="8"/>
        <v>#N/A</v>
      </c>
      <c r="AC33" s="49" t="e">
        <f>VLOOKUP($Z33,HPs!$L$65:$O$75,4)</f>
        <v>#N/A</v>
      </c>
      <c r="AD33" s="48">
        <f t="shared" si="9"/>
        <v>0</v>
      </c>
      <c r="AE33" s="48">
        <f t="shared" si="10"/>
        <v>0</v>
      </c>
      <c r="AF33" s="49" t="e">
        <f>IF(AD33=0,VLOOKUP($Z33,HPs!$L$65:$O$75,4),VLOOKUP(HPs!$P$52+1,HPs!$M$65:$O$80,3))</f>
        <v>#N/A</v>
      </c>
      <c r="AG33" s="49" t="e">
        <f>IF(AE33=0,VLOOKUP($Z33,HPs!$L$65:$O$75,4),VLOOKUP(HPs!$P$53+1,HPs!$M$65:$O$80,3))</f>
        <v>#N/A</v>
      </c>
      <c r="AH33" s="48">
        <f t="shared" si="11"/>
        <v>0</v>
      </c>
      <c r="AI33" s="49" t="e">
        <f>IF(AH33=0,VLOOKUP($Z33,HPs!$L$65:$O$75,4),VLOOKUP(HPs!$P$49+1,HPs!$M$65:$O$80,3))</f>
        <v>#N/A</v>
      </c>
      <c r="AJ33" s="48" t="e">
        <f>IF(OR($X33=221,$X33=222),VLOOKUP($Z33,HPs!$R$47:$S$52,2)+4,VLOOKUP($AC33,HPs!$O$65:$Q$80,3))</f>
        <v>#N/A</v>
      </c>
      <c r="AK33" s="48" t="e">
        <f>VLOOKUP($AJ33,HPs!$M$65:$O$80,3)</f>
        <v>#N/A</v>
      </c>
      <c r="AL33" s="48">
        <f t="shared" si="12"/>
        <v>0</v>
      </c>
    </row>
    <row r="34" spans="1:38" ht="12.75">
      <c r="A34" s="53"/>
      <c r="B34" s="93">
        <f>IF(ISNUMBER($V34),VLOOKUP($O34,Powers!$C$2:$D$17,2,FALSE),"")</f>
      </c>
      <c r="C34" s="82">
        <f>IF(ISNUMBER($V34),VLOOKUP($X34,Powers!$D$53:$E$315,2,FALSE),"")</f>
      </c>
      <c r="D34" s="53"/>
      <c r="E34" s="56">
        <f t="shared" si="5"/>
      </c>
      <c r="F34" s="85">
        <f t="shared" si="6"/>
      </c>
      <c r="G34" s="64">
        <f>IF(ISNUMBER($V34),VLOOKUP($C34,Powers!$E$53:$G$315,3,),"")</f>
      </c>
      <c r="H34" s="53"/>
      <c r="I34" s="51"/>
      <c r="J34" s="65"/>
      <c r="K34" s="53">
        <v>10</v>
      </c>
      <c r="L34" s="48" t="e">
        <f t="shared" si="0"/>
        <v>#N/A</v>
      </c>
      <c r="M34" s="90"/>
      <c r="N34" s="90"/>
      <c r="O34" s="48" t="e">
        <f>VLOOKUP($M34,Powers!$B$2:$C$17,2)</f>
        <v>#N/A</v>
      </c>
      <c r="P34" s="48" t="e">
        <f t="shared" si="1"/>
        <v>#N/A</v>
      </c>
      <c r="Q34" s="48" t="e">
        <f>VLOOKUP($P34,Powers!$C$53:$D$315,2)</f>
        <v>#N/A</v>
      </c>
      <c r="R34" s="48">
        <f t="shared" si="2"/>
        <v>-1</v>
      </c>
      <c r="S34" s="48" t="e">
        <f>VLOOKUP(Q34,Powers!$J$2:$M$51,4,FALSE)</f>
        <v>#N/A</v>
      </c>
      <c r="T34" s="48">
        <f t="shared" si="13"/>
        <v>0</v>
      </c>
      <c r="V34" s="48" t="e">
        <f t="shared" si="3"/>
        <v>#N/A</v>
      </c>
      <c r="W34" s="48">
        <f t="shared" si="4"/>
      </c>
      <c r="X34" s="48">
        <f t="shared" si="7"/>
      </c>
      <c r="Y34" s="48" t="e">
        <f>VLOOKUP(AA34,HPs!$N$65:$Q$80,4,FALSE)</f>
        <v>#N/A</v>
      </c>
      <c r="Z34" s="26"/>
      <c r="AA34" s="50" t="e">
        <f>VLOOKUP($AB34,HPs!$K$65:$O$80,4)</f>
        <v>#N/A</v>
      </c>
      <c r="AB34" s="49" t="e">
        <f t="shared" si="8"/>
        <v>#N/A</v>
      </c>
      <c r="AC34" s="49" t="e">
        <f>VLOOKUP($Z34,HPs!$L$65:$O$75,4)</f>
        <v>#N/A</v>
      </c>
      <c r="AD34" s="48">
        <f t="shared" si="9"/>
        <v>0</v>
      </c>
      <c r="AE34" s="48">
        <f t="shared" si="10"/>
        <v>0</v>
      </c>
      <c r="AF34" s="49" t="e">
        <f>IF(AD34=0,VLOOKUP($Z34,HPs!$L$65:$O$75,4),VLOOKUP(HPs!$P$52+1,HPs!$M$65:$O$80,3))</f>
        <v>#N/A</v>
      </c>
      <c r="AG34" s="49" t="e">
        <f>IF(AE34=0,VLOOKUP($Z34,HPs!$L$65:$O$75,4),VLOOKUP(HPs!$P$53+1,HPs!$M$65:$O$80,3))</f>
        <v>#N/A</v>
      </c>
      <c r="AH34" s="48">
        <f t="shared" si="11"/>
        <v>0</v>
      </c>
      <c r="AI34" s="49" t="e">
        <f>IF(AH34=0,VLOOKUP($Z34,HPs!$L$65:$O$75,4),VLOOKUP(HPs!$P$49+1,HPs!$M$65:$O$80,3))</f>
        <v>#N/A</v>
      </c>
      <c r="AJ34" s="48" t="e">
        <f>IF(OR($X34=221,$X34=222),VLOOKUP($Z34,HPs!$R$47:$S$52,2)+4,VLOOKUP($AC34,HPs!$O$65:$Q$80,3))</f>
        <v>#N/A</v>
      </c>
      <c r="AK34" s="48" t="e">
        <f>VLOOKUP($AJ34,HPs!$M$65:$O$80,3)</f>
        <v>#N/A</v>
      </c>
      <c r="AL34" s="48">
        <f t="shared" si="12"/>
        <v>0</v>
      </c>
    </row>
    <row r="35" spans="1:38" ht="12.75">
      <c r="A35" s="53"/>
      <c r="B35" s="93">
        <f>IF(ISNUMBER($V35),VLOOKUP($O35,Powers!$C$2:$D$17,2,FALSE),"")</f>
      </c>
      <c r="C35" s="82">
        <f>IF(ISNUMBER($V35),VLOOKUP($X35,Powers!$D$53:$E$315,2,FALSE),"")</f>
      </c>
      <c r="D35" s="53"/>
      <c r="E35" s="56">
        <f t="shared" si="5"/>
      </c>
      <c r="F35" s="85">
        <f t="shared" si="6"/>
      </c>
      <c r="G35" s="64">
        <f>IF(ISNUMBER($V35),VLOOKUP($C35,Powers!$E$53:$G$315,3,),"")</f>
      </c>
      <c r="H35" s="53"/>
      <c r="I35" s="51"/>
      <c r="J35" s="65"/>
      <c r="K35" s="53">
        <v>11</v>
      </c>
      <c r="L35" s="48" t="e">
        <f t="shared" si="0"/>
        <v>#N/A</v>
      </c>
      <c r="M35" s="90"/>
      <c r="N35" s="90"/>
      <c r="O35" s="48" t="e">
        <f>VLOOKUP($M35,Powers!$B$2:$C$17,2)</f>
        <v>#N/A</v>
      </c>
      <c r="P35" s="48" t="e">
        <f t="shared" si="1"/>
        <v>#N/A</v>
      </c>
      <c r="Q35" s="48" t="e">
        <f>VLOOKUP($P35,Powers!$C$53:$D$315,2)</f>
        <v>#N/A</v>
      </c>
      <c r="R35" s="48">
        <f t="shared" si="2"/>
        <v>-1</v>
      </c>
      <c r="S35" s="48" t="e">
        <f>VLOOKUP(Q35,Powers!$J$2:$M$51,4,FALSE)</f>
        <v>#N/A</v>
      </c>
      <c r="T35" s="48">
        <f t="shared" si="13"/>
        <v>0</v>
      </c>
      <c r="V35" s="48" t="e">
        <f t="shared" si="3"/>
        <v>#N/A</v>
      </c>
      <c r="W35" s="48">
        <f t="shared" si="4"/>
      </c>
      <c r="X35" s="48">
        <f t="shared" si="7"/>
      </c>
      <c r="Y35" s="48" t="e">
        <f>VLOOKUP(AA35,HPs!$N$65:$Q$80,4,FALSE)</f>
        <v>#N/A</v>
      </c>
      <c r="Z35" s="26"/>
      <c r="AA35" s="50" t="e">
        <f>VLOOKUP($AB35,HPs!$K$65:$O$80,4)</f>
        <v>#N/A</v>
      </c>
      <c r="AB35" s="49" t="e">
        <f t="shared" si="8"/>
        <v>#N/A</v>
      </c>
      <c r="AC35" s="49" t="e">
        <f>VLOOKUP($Z35,HPs!$L$65:$O$75,4)</f>
        <v>#N/A</v>
      </c>
      <c r="AD35" s="48">
        <f t="shared" si="9"/>
        <v>0</v>
      </c>
      <c r="AE35" s="48">
        <f t="shared" si="10"/>
        <v>0</v>
      </c>
      <c r="AF35" s="49" t="e">
        <f>IF(AD35=0,VLOOKUP($Z35,HPs!$L$65:$O$75,4),VLOOKUP(HPs!$P$52+1,HPs!$M$65:$O$80,3))</f>
        <v>#N/A</v>
      </c>
      <c r="AG35" s="49" t="e">
        <f>IF(AE35=0,VLOOKUP($Z35,HPs!$L$65:$O$75,4),VLOOKUP(HPs!$P$53+1,HPs!$M$65:$O$80,3))</f>
        <v>#N/A</v>
      </c>
      <c r="AH35" s="48">
        <f t="shared" si="11"/>
        <v>0</v>
      </c>
      <c r="AI35" s="49" t="e">
        <f>IF(AH35=0,VLOOKUP($Z35,HPs!$L$65:$O$75,4),VLOOKUP(HPs!$P$49+1,HPs!$M$65:$O$80,3))</f>
        <v>#N/A</v>
      </c>
      <c r="AJ35" s="48" t="e">
        <f>IF(OR($X35=221,$X35=222),VLOOKUP($Z35,HPs!$R$47:$S$52,2)+4,VLOOKUP($AC35,HPs!$O$65:$Q$80,3))</f>
        <v>#N/A</v>
      </c>
      <c r="AK35" s="48" t="e">
        <f>VLOOKUP($AJ35,HPs!$M$65:$O$80,3)</f>
        <v>#N/A</v>
      </c>
      <c r="AL35" s="48">
        <f t="shared" si="12"/>
        <v>0</v>
      </c>
    </row>
    <row r="36" spans="1:38" ht="12.75">
      <c r="A36" s="53"/>
      <c r="B36" s="93">
        <f>IF(ISNUMBER($V36),VLOOKUP($O36,Powers!$C$2:$D$17,2,FALSE),"")</f>
      </c>
      <c r="C36" s="82">
        <f>IF(ISNUMBER($V36),VLOOKUP($X36,Powers!$D$53:$E$315,2,FALSE),"")</f>
      </c>
      <c r="D36" s="53"/>
      <c r="E36" s="56">
        <f>IF(ISNUMBER(V36),AB60,"")</f>
      </c>
      <c r="F36" s="85">
        <f>IF(ISNUMBER(V36),AA60,"")</f>
      </c>
      <c r="G36" s="64">
        <f>IF(ISNUMBER($V36),VLOOKUP($C36,Powers!$E$53:$G$315,3,),"")</f>
      </c>
      <c r="H36" s="53"/>
      <c r="I36" s="51"/>
      <c r="J36" s="65"/>
      <c r="K36" s="53">
        <v>12</v>
      </c>
      <c r="L36" s="48" t="e">
        <f t="shared" si="0"/>
        <v>#N/A</v>
      </c>
      <c r="M36" s="90"/>
      <c r="N36" s="90"/>
      <c r="O36" s="48" t="e">
        <f>VLOOKUP($M36,Powers!$B$2:$C$17,2)</f>
        <v>#N/A</v>
      </c>
      <c r="P36" s="48" t="e">
        <f t="shared" si="1"/>
        <v>#N/A</v>
      </c>
      <c r="Q36" s="48" t="e">
        <f>VLOOKUP($P36,Powers!$C$53:$D$315,2)</f>
        <v>#N/A</v>
      </c>
      <c r="R36" s="48">
        <f t="shared" si="2"/>
        <v>-1</v>
      </c>
      <c r="S36" s="48" t="e">
        <f>VLOOKUP(Q36,Powers!$J$2:$M$51,4,FALSE)</f>
        <v>#N/A</v>
      </c>
      <c r="T36" s="48">
        <f t="shared" si="13"/>
        <v>0</v>
      </c>
      <c r="V36" s="48" t="e">
        <f t="shared" si="3"/>
        <v>#N/A</v>
      </c>
      <c r="W36" s="48">
        <f t="shared" si="4"/>
      </c>
      <c r="X36" s="48">
        <f t="shared" si="7"/>
      </c>
      <c r="Y36" s="48" t="e">
        <f>VLOOKUP(AA36,HPs!$N$65:$Q$80,4,FALSE)</f>
        <v>#N/A</v>
      </c>
      <c r="Z36" s="26"/>
      <c r="AA36" s="50" t="e">
        <f>VLOOKUP($AB36,HPs!$K$65:$O$80,4)</f>
        <v>#N/A</v>
      </c>
      <c r="AB36" s="49" t="e">
        <f t="shared" si="8"/>
        <v>#N/A</v>
      </c>
      <c r="AC36" s="49" t="e">
        <f>VLOOKUP($Z36,HPs!$L$65:$O$75,4)</f>
        <v>#N/A</v>
      </c>
      <c r="AD36" s="48">
        <f t="shared" si="9"/>
        <v>0</v>
      </c>
      <c r="AE36" s="48">
        <f t="shared" si="10"/>
        <v>0</v>
      </c>
      <c r="AF36" s="49" t="e">
        <f>IF(AD36=0,VLOOKUP($Z36,HPs!$L$65:$O$75,4),VLOOKUP(HPs!$P$52+1,HPs!$M$65:$O$80,3))</f>
        <v>#N/A</v>
      </c>
      <c r="AG36" s="49" t="e">
        <f>IF(AE36=0,VLOOKUP($Z36,HPs!$L$65:$O$75,4),VLOOKUP(HPs!$P$53+1,HPs!$M$65:$O$80,3))</f>
        <v>#N/A</v>
      </c>
      <c r="AH36" s="48">
        <f t="shared" si="11"/>
        <v>0</v>
      </c>
      <c r="AI36" s="49" t="e">
        <f>IF(AH36=0,VLOOKUP($Z36,HPs!$L$65:$O$75,4),VLOOKUP(HPs!$P$49+1,HPs!$M$65:$O$80,3))</f>
        <v>#N/A</v>
      </c>
      <c r="AJ36" s="48" t="e">
        <f>IF(OR($X36=221,$X36=222),VLOOKUP($Z36,HPs!$R$47:$S$52,2)+4,VLOOKUP($AC36,HPs!$O$65:$Q$80,3))</f>
        <v>#N/A</v>
      </c>
      <c r="AK36" s="48" t="e">
        <f>VLOOKUP($AJ36,HPs!$M$65:$O$80,3)</f>
        <v>#N/A</v>
      </c>
      <c r="AL36" s="48">
        <f t="shared" si="12"/>
        <v>0</v>
      </c>
    </row>
    <row r="37" spans="1:38" ht="12.75">
      <c r="A37" s="53"/>
      <c r="B37" s="93">
        <f>IF(ISNUMBER($V37),VLOOKUP($O37,Powers!$C$2:$D$17,2,FALSE),"")</f>
      </c>
      <c r="C37" s="53">
        <f>IF(ISNUMBER($V37),VLOOKUP($X37,Powers!$D$53:$E$315,2,FALSE),"")</f>
      </c>
      <c r="D37" s="53"/>
      <c r="E37" s="56">
        <f>IF(ISNUMBER(V37),AB61,"")</f>
      </c>
      <c r="F37" s="85">
        <f>IF(ISNUMBER(V37),AA61,"")</f>
      </c>
      <c r="G37" s="64">
        <f>IF(ISNUMBER($V37),VLOOKUP($C37,Powers!$E$53:$G$315,3,),"")</f>
      </c>
      <c r="H37" s="53"/>
      <c r="I37" s="64"/>
      <c r="J37" s="66"/>
      <c r="K37" s="53">
        <v>13</v>
      </c>
      <c r="L37" s="48" t="e">
        <f t="shared" si="0"/>
        <v>#N/A</v>
      </c>
      <c r="M37" s="90"/>
      <c r="N37" s="90"/>
      <c r="O37" s="48" t="e">
        <f>VLOOKUP($M37,Powers!$B$2:$C$17,2)</f>
        <v>#N/A</v>
      </c>
      <c r="P37" s="48" t="e">
        <f t="shared" si="1"/>
        <v>#N/A</v>
      </c>
      <c r="Q37" s="48" t="e">
        <f>VLOOKUP($P37,Powers!$C$53:$D$315,2)</f>
        <v>#N/A</v>
      </c>
      <c r="R37" s="48">
        <f t="shared" si="2"/>
        <v>-1</v>
      </c>
      <c r="S37" s="48" t="e">
        <f>VLOOKUP(Q37,Powers!$J$2:$M$51,4,FALSE)</f>
        <v>#N/A</v>
      </c>
      <c r="T37" s="48">
        <f t="shared" si="13"/>
        <v>0</v>
      </c>
      <c r="V37" s="48" t="e">
        <f t="shared" si="3"/>
        <v>#N/A</v>
      </c>
      <c r="W37" s="48">
        <f t="shared" si="4"/>
      </c>
      <c r="X37" s="48">
        <f t="shared" si="7"/>
      </c>
      <c r="Y37" s="48" t="e">
        <f>VLOOKUP(AA37,HPs!$N$65:$Q$80,4,FALSE)</f>
        <v>#N/A</v>
      </c>
      <c r="Z37" s="26"/>
      <c r="AA37" s="50" t="e">
        <f>VLOOKUP($AB37,HPs!$K$65:$O$80,4)</f>
        <v>#N/A</v>
      </c>
      <c r="AB37" s="49" t="e">
        <f t="shared" si="8"/>
        <v>#N/A</v>
      </c>
      <c r="AC37" s="49" t="e">
        <f>VLOOKUP($Z37,HPs!$L$65:$O$75,4)</f>
        <v>#N/A</v>
      </c>
      <c r="AD37" s="48">
        <f t="shared" si="9"/>
        <v>0</v>
      </c>
      <c r="AE37" s="48">
        <f t="shared" si="10"/>
        <v>0</v>
      </c>
      <c r="AF37" s="49" t="e">
        <f>IF(AD37=0,VLOOKUP($Z37,HPs!$L$65:$O$75,4),VLOOKUP(HPs!$P$52+1,HPs!$M$65:$O$80,3))</f>
        <v>#N/A</v>
      </c>
      <c r="AG37" s="49" t="e">
        <f>IF(AE37=0,VLOOKUP($Z37,HPs!$L$65:$O$75,4),VLOOKUP(HPs!$P$53+1,HPs!$M$65:$O$80,3))</f>
        <v>#N/A</v>
      </c>
      <c r="AH37" s="48">
        <f t="shared" si="11"/>
        <v>0</v>
      </c>
      <c r="AI37" s="49" t="e">
        <f>IF(AH37=0,VLOOKUP($Z37,HPs!$L$65:$O$75,4),VLOOKUP(HPs!$P$49+1,HPs!$M$65:$O$80,3))</f>
        <v>#N/A</v>
      </c>
      <c r="AJ37" s="48" t="e">
        <f>IF(OR($X37=221,$X37=222),VLOOKUP($Z37,HPs!$R$47:$S$52,2)+4,VLOOKUP($AC37,HPs!$O$65:$Q$80,3))</f>
        <v>#N/A</v>
      </c>
      <c r="AK37" s="48" t="e">
        <f>VLOOKUP($AJ37,HPs!$M$65:$O$80,3)</f>
        <v>#N/A</v>
      </c>
      <c r="AL37" s="48">
        <f t="shared" si="12"/>
        <v>0</v>
      </c>
    </row>
    <row r="38" spans="1:38" ht="12.75">
      <c r="A38" s="53"/>
      <c r="B38" s="94">
        <f>IF(ISNUMBER($V38),VLOOKUP($O38,Powers!$C$2:$D$17,2,FALSE),"")</f>
      </c>
      <c r="C38" s="55">
        <f>IF(ISNUMBER($V38),VLOOKUP($X38,Powers!$D$53:$E$315,2,FALSE),"")</f>
      </c>
      <c r="D38" s="55"/>
      <c r="E38" s="56">
        <f>IF(ISNUMBER(V38),AB62,"")</f>
      </c>
      <c r="F38" s="85">
        <f>IF(ISNUMBER(V38),AA62,"")</f>
      </c>
      <c r="G38" s="57">
        <f>IF(ISNUMBER($V38),VLOOKUP($C38,Powers!$E$53:$G$315,3,),"")</f>
      </c>
      <c r="H38" s="55"/>
      <c r="I38" s="57"/>
      <c r="J38" s="68"/>
      <c r="K38" s="53">
        <v>14</v>
      </c>
      <c r="L38" s="48" t="e">
        <f t="shared" si="0"/>
        <v>#N/A</v>
      </c>
      <c r="M38" s="90"/>
      <c r="N38" s="90"/>
      <c r="O38" s="48" t="e">
        <f>VLOOKUP($M38,Powers!$B$2:$C$17,2)</f>
        <v>#N/A</v>
      </c>
      <c r="P38" s="48" t="e">
        <f t="shared" si="1"/>
        <v>#N/A</v>
      </c>
      <c r="Q38" s="48" t="e">
        <f>VLOOKUP($P38,Powers!$C$53:$D$315,2)</f>
        <v>#N/A</v>
      </c>
      <c r="R38" s="48">
        <f t="shared" si="2"/>
        <v>-1</v>
      </c>
      <c r="S38" s="48" t="e">
        <f>VLOOKUP(Q38,Powers!$J$2:$M$51,4,FALSE)</f>
        <v>#N/A</v>
      </c>
      <c r="T38" s="48">
        <f t="shared" si="13"/>
        <v>0</v>
      </c>
      <c r="V38" s="48" t="e">
        <f t="shared" si="3"/>
        <v>#N/A</v>
      </c>
      <c r="W38" s="48">
        <f t="shared" si="4"/>
      </c>
      <c r="X38" s="48">
        <f t="shared" si="7"/>
      </c>
      <c r="Y38" s="48" t="e">
        <f>VLOOKUP(AA38,HPs!$N$65:$Q$80,4,FALSE)</f>
        <v>#N/A</v>
      </c>
      <c r="Z38" s="26"/>
      <c r="AA38" s="50" t="e">
        <f>VLOOKUP($AB38,HPs!$K$65:$O$80,4)</f>
        <v>#N/A</v>
      </c>
      <c r="AB38" s="49" t="e">
        <f t="shared" si="8"/>
        <v>#N/A</v>
      </c>
      <c r="AC38" s="49" t="e">
        <f>VLOOKUP($Z38,HPs!$L$65:$O$75,4)</f>
        <v>#N/A</v>
      </c>
      <c r="AD38" s="48">
        <f t="shared" si="9"/>
        <v>0</v>
      </c>
      <c r="AE38" s="48">
        <f t="shared" si="10"/>
        <v>0</v>
      </c>
      <c r="AF38" s="49" t="e">
        <f>IF(AD38=0,VLOOKUP($Z38,HPs!$L$65:$O$75,4),VLOOKUP(HPs!$P$52+1,HPs!$M$65:$O$80,3))</f>
        <v>#N/A</v>
      </c>
      <c r="AG38" s="49" t="e">
        <f>IF(AE38=0,VLOOKUP($Z38,HPs!$L$65:$O$75,4),VLOOKUP(HPs!$P$53+1,HPs!$M$65:$O$80,3))</f>
        <v>#N/A</v>
      </c>
      <c r="AH38" s="48">
        <f t="shared" si="11"/>
        <v>0</v>
      </c>
      <c r="AI38" s="49" t="e">
        <f>IF(AH38=0,VLOOKUP($Z38,HPs!$L$65:$O$75,4),VLOOKUP(HPs!$P$49+1,HPs!$M$65:$O$80,3))</f>
        <v>#N/A</v>
      </c>
      <c r="AJ38" s="48" t="e">
        <f>IF(OR($X38=221,$X38=222),VLOOKUP($Z38,HPs!$R$47:$S$52,2)+4,VLOOKUP($AC38,HPs!$O$65:$Q$80,3))</f>
        <v>#N/A</v>
      </c>
      <c r="AK38" s="48" t="e">
        <f>VLOOKUP($AJ38,HPs!$M$65:$O$80,3)</f>
        <v>#N/A</v>
      </c>
      <c r="AL38" s="48">
        <f t="shared" si="12"/>
        <v>0</v>
      </c>
    </row>
    <row r="39" spans="1:38" ht="12">
      <c r="A39" s="53"/>
      <c r="B39" s="64" t="e">
        <f>IF(ISBLANK(VLOOKUP(M2,HPs!B4:S42,18)),"",VLOOKUP(M2,HPs!B4:S42,18))</f>
        <v>#N/A</v>
      </c>
      <c r="C39" s="53"/>
      <c r="D39" s="53"/>
      <c r="E39" s="51"/>
      <c r="F39" s="80" t="e">
        <f>IF(ISBLANK(VLOOKUP(M2,HPs!B4:S42,18)),"",VLOOKUP(M2,HPs!B4:S42,17))</f>
        <v>#N/A</v>
      </c>
      <c r="G39" s="53"/>
      <c r="H39" s="53"/>
      <c r="I39" s="51"/>
      <c r="J39" s="51"/>
      <c r="K39" s="53"/>
      <c r="O39" s="48" t="e">
        <f>VLOOKUP(Z43,Powers!$B$2:$C$17,2)</f>
        <v>#N/A</v>
      </c>
      <c r="P39" s="48" t="e">
        <f>Z44+(O39-1)*100</f>
        <v>#N/A</v>
      </c>
      <c r="Q39" s="48" t="e">
        <f>VLOOKUP($P39,Powers!$C$53:$D$315,2)</f>
        <v>#N/A</v>
      </c>
      <c r="T39" s="48">
        <f>SUM(T25:T38)</f>
        <v>0</v>
      </c>
      <c r="Y39" s="48" t="s">
        <v>37</v>
      </c>
      <c r="Z39" s="26"/>
      <c r="AL39" s="48">
        <f>SUM(AL25:AL38)</f>
        <v>0</v>
      </c>
    </row>
    <row r="40" spans="1:26" ht="12">
      <c r="A40" s="53"/>
      <c r="B40" s="53"/>
      <c r="C40" s="53"/>
      <c r="D40" s="53"/>
      <c r="E40" s="51"/>
      <c r="F40" s="53"/>
      <c r="G40" s="53"/>
      <c r="H40" s="53"/>
      <c r="I40" s="51"/>
      <c r="J40" s="51"/>
      <c r="K40" s="53"/>
      <c r="L40" s="48" t="s">
        <v>1347</v>
      </c>
      <c r="M40" s="48" t="s">
        <v>1344</v>
      </c>
      <c r="O40" s="48" t="e">
        <f>VLOOKUP(Z44,Powers!$B$2:$C$17,2)</f>
        <v>#N/A</v>
      </c>
      <c r="P40" s="48" t="e">
        <f>Z45+(O40-1)*100</f>
        <v>#N/A</v>
      </c>
      <c r="Q40" s="48" t="e">
        <f>VLOOKUP($P40,Powers!$C$53:$D$315,2)</f>
        <v>#N/A</v>
      </c>
      <c r="Y40" s="48" t="s">
        <v>37</v>
      </c>
      <c r="Z40" s="26"/>
    </row>
    <row r="41" spans="1:26" ht="12">
      <c r="A41" s="55"/>
      <c r="B41" s="55"/>
      <c r="C41" s="55"/>
      <c r="D41" s="55"/>
      <c r="E41" s="54"/>
      <c r="F41" s="55"/>
      <c r="G41" s="55"/>
      <c r="H41" s="55"/>
      <c r="I41" s="54"/>
      <c r="J41" s="54"/>
      <c r="K41" s="53"/>
      <c r="L41" s="48" t="s">
        <v>1348</v>
      </c>
      <c r="M41" s="48" t="s">
        <v>1012</v>
      </c>
      <c r="N41" s="48" t="s">
        <v>1344</v>
      </c>
      <c r="O41" s="48" t="s">
        <v>1013</v>
      </c>
      <c r="P41" s="48" t="s">
        <v>1345</v>
      </c>
      <c r="R41" s="48" t="s">
        <v>1346</v>
      </c>
      <c r="Y41" s="48" t="s">
        <v>37</v>
      </c>
      <c r="Z41" s="26"/>
    </row>
    <row r="42" spans="1:26" ht="12">
      <c r="A42" s="58">
        <f>IF(ISNUMBER($L42),VLOOKUP($R42,Talents!$D$11:$E$63,2),"")</f>
      </c>
      <c r="B42" s="59"/>
      <c r="C42" s="69"/>
      <c r="D42" s="58">
        <f>IF(ISNUMBER(L42),VLOOKUP($R42,Talents!$D$11:$F$63,3),"")</f>
      </c>
      <c r="E42" s="61"/>
      <c r="F42" s="59"/>
      <c r="G42" s="59"/>
      <c r="H42" s="59"/>
      <c r="I42" s="61"/>
      <c r="J42" s="62"/>
      <c r="K42" s="53">
        <v>1</v>
      </c>
      <c r="L42" s="48" t="e">
        <f aca="true" t="shared" si="14" ref="L42:L47">IF($K42&lt;=$C$21,$K42,"")</f>
        <v>#N/A</v>
      </c>
      <c r="M42" s="26"/>
      <c r="N42" s="26"/>
      <c r="O42" s="48" t="e">
        <f>VLOOKUP($M42,Talents!$B$2:$C$7,2)</f>
        <v>#N/A</v>
      </c>
      <c r="P42" s="48" t="e">
        <f aca="true" t="shared" si="15" ref="P42:P47">N42+(O42-1)*100</f>
        <v>#N/A</v>
      </c>
      <c r="R42" s="48" t="e">
        <f>VLOOKUP(P42,Talents!$C$11:$D$63,2)</f>
        <v>#N/A</v>
      </c>
      <c r="Y42" s="48" t="s">
        <v>37</v>
      </c>
      <c r="Z42" s="26"/>
    </row>
    <row r="43" spans="1:26" ht="12">
      <c r="A43" s="63">
        <f>IF(ISNUMBER($L43),VLOOKUP($R43,Talents!$D$11:$E$63,2),"")</f>
      </c>
      <c r="B43" s="53"/>
      <c r="C43" s="70"/>
      <c r="D43" s="63">
        <f>IF(ISNUMBER(L43),VLOOKUP($R43,Talents!$D$11:$F$63,3),"")</f>
      </c>
      <c r="E43" s="51"/>
      <c r="F43" s="53"/>
      <c r="G43" s="53"/>
      <c r="H43" s="53"/>
      <c r="I43" s="51"/>
      <c r="J43" s="65"/>
      <c r="K43" s="53">
        <v>2</v>
      </c>
      <c r="L43" s="48" t="e">
        <f t="shared" si="14"/>
        <v>#N/A</v>
      </c>
      <c r="M43" s="26"/>
      <c r="N43" s="26"/>
      <c r="O43" s="48" t="e">
        <f>VLOOKUP($M43,Talents!$B$2:$C$7,2)</f>
        <v>#N/A</v>
      </c>
      <c r="P43" s="48" t="e">
        <f t="shared" si="15"/>
        <v>#N/A</v>
      </c>
      <c r="R43" s="48" t="e">
        <f>VLOOKUP(P43,Talents!$C$11:$D$63,2)</f>
        <v>#N/A</v>
      </c>
      <c r="Y43" s="48" t="s">
        <v>37</v>
      </c>
      <c r="Z43" s="26"/>
    </row>
    <row r="44" spans="1:29" ht="12">
      <c r="A44" s="63">
        <f>IF(ISNUMBER($L44),VLOOKUP($R44,Talents!$D$11:$E$63,2),"")</f>
      </c>
      <c r="B44" s="53"/>
      <c r="C44" s="70"/>
      <c r="D44" s="63">
        <f>IF(ISNUMBER(L44),VLOOKUP($R44,Talents!$D$11:$F$63,3),"")</f>
      </c>
      <c r="E44" s="51"/>
      <c r="F44" s="53"/>
      <c r="G44" s="53"/>
      <c r="H44" s="53"/>
      <c r="I44" s="51"/>
      <c r="J44" s="65"/>
      <c r="K44" s="53">
        <v>3</v>
      </c>
      <c r="L44" s="48" t="e">
        <f t="shared" si="14"/>
        <v>#N/A</v>
      </c>
      <c r="M44" s="26"/>
      <c r="N44" s="26"/>
      <c r="O44" s="48" t="e">
        <f>VLOOKUP($M44,Talents!$B$2:$C$7,2)</f>
        <v>#N/A</v>
      </c>
      <c r="P44" s="48" t="e">
        <f t="shared" si="15"/>
        <v>#N/A</v>
      </c>
      <c r="R44" s="48" t="e">
        <f>VLOOKUP(P44,Talents!$C$11:$D$63,2)</f>
        <v>#N/A</v>
      </c>
      <c r="Y44" s="48" t="s">
        <v>37</v>
      </c>
      <c r="Z44" s="26"/>
      <c r="AA44" s="50" t="e">
        <f>VLOOKUP($AC44,HPs!$K$65:$O$80,4)</f>
        <v>#N/A</v>
      </c>
      <c r="AC44" s="49" t="e">
        <f>VLOOKUP($Z44,HPs!$L$65:$O$75,4)</f>
        <v>#N/A</v>
      </c>
    </row>
    <row r="45" spans="1:18" ht="12">
      <c r="A45" s="63">
        <f>IF(ISNUMBER($L45),VLOOKUP($R45,Talents!$D$11:$E$63,2),"")</f>
      </c>
      <c r="B45" s="53"/>
      <c r="C45" s="70"/>
      <c r="D45" s="63">
        <f>IF(ISNUMBER(L45),VLOOKUP($R45,Talents!$D$11:$F$63,3),"")</f>
      </c>
      <c r="E45" s="51"/>
      <c r="F45" s="53"/>
      <c r="G45" s="53"/>
      <c r="H45" s="53"/>
      <c r="I45" s="51"/>
      <c r="J45" s="65"/>
      <c r="K45" s="53">
        <v>4</v>
      </c>
      <c r="L45" s="48" t="e">
        <f t="shared" si="14"/>
        <v>#N/A</v>
      </c>
      <c r="M45" s="26"/>
      <c r="N45" s="26"/>
      <c r="O45" s="48" t="e">
        <f>VLOOKUP($M45,Talents!$B$2:$C$7,2)</f>
        <v>#N/A</v>
      </c>
      <c r="P45" s="48" t="e">
        <f t="shared" si="15"/>
        <v>#N/A</v>
      </c>
      <c r="R45" s="48" t="e">
        <f>VLOOKUP(P45,Talents!$C$11:$D$63,2)</f>
        <v>#N/A</v>
      </c>
    </row>
    <row r="46" spans="1:18" ht="12">
      <c r="A46" s="63">
        <f>IF(ISNUMBER($L46),VLOOKUP($R46,Talents!$D$11:$E$63,2),"")</f>
      </c>
      <c r="B46" s="53"/>
      <c r="C46" s="70"/>
      <c r="D46" s="63">
        <f>IF(ISNUMBER(L46),VLOOKUP($R46,Talents!$D$11:$F$63,3),"")</f>
      </c>
      <c r="E46" s="51"/>
      <c r="F46" s="53"/>
      <c r="G46" s="53"/>
      <c r="H46" s="53"/>
      <c r="I46" s="51"/>
      <c r="J46" s="65"/>
      <c r="K46" s="53">
        <v>5</v>
      </c>
      <c r="L46" s="48" t="e">
        <f t="shared" si="14"/>
        <v>#N/A</v>
      </c>
      <c r="M46" s="26"/>
      <c r="N46" s="26"/>
      <c r="O46" s="48" t="e">
        <f>VLOOKUP($M46,Talents!$B$2:$C$7,2)</f>
        <v>#N/A</v>
      </c>
      <c r="P46" s="48" t="e">
        <f t="shared" si="15"/>
        <v>#N/A</v>
      </c>
      <c r="R46" s="48" t="e">
        <f>VLOOKUP(P46,Talents!$C$11:$D$63,2)</f>
        <v>#N/A</v>
      </c>
    </row>
    <row r="47" spans="1:18" ht="12">
      <c r="A47" s="67">
        <f>IF(ISNUMBER($L47),VLOOKUP($R47,Talents!$D$11:$E$63,2),"")</f>
      </c>
      <c r="B47" s="55"/>
      <c r="C47" s="71"/>
      <c r="D47" s="67">
        <f>IF(ISNUMBER(L47),VLOOKUP($R47,Talents!$D$11:$F$63,3),"")</f>
      </c>
      <c r="E47" s="54"/>
      <c r="F47" s="55"/>
      <c r="G47" s="55"/>
      <c r="H47" s="55"/>
      <c r="I47" s="54"/>
      <c r="J47" s="72"/>
      <c r="K47" s="53">
        <v>6</v>
      </c>
      <c r="L47" s="48" t="e">
        <f t="shared" si="14"/>
        <v>#N/A</v>
      </c>
      <c r="M47" s="26"/>
      <c r="N47" s="26"/>
      <c r="O47" s="48" t="e">
        <f>VLOOKUP($M47,Talents!$B$2:$C$7,2)</f>
        <v>#N/A</v>
      </c>
      <c r="P47" s="48" t="e">
        <f t="shared" si="15"/>
        <v>#N/A</v>
      </c>
      <c r="R47" s="48" t="e">
        <f>VLOOKUP(P47,Talents!$C$11:$D$63,2)</f>
        <v>#N/A</v>
      </c>
    </row>
    <row r="48" spans="1:10" ht="12">
      <c r="A48" s="59"/>
      <c r="B48" s="59"/>
      <c r="C48" s="59"/>
      <c r="D48" s="59"/>
      <c r="E48" s="61"/>
      <c r="F48" s="59"/>
      <c r="G48" s="59"/>
      <c r="H48" s="59"/>
      <c r="I48" s="61"/>
      <c r="J48" s="61"/>
    </row>
    <row r="49" spans="1:28" ht="12">
      <c r="A49" s="55"/>
      <c r="B49" s="55"/>
      <c r="C49" s="55"/>
      <c r="D49" s="55"/>
      <c r="E49" s="54"/>
      <c r="F49" s="55"/>
      <c r="G49" s="55"/>
      <c r="H49" s="55"/>
      <c r="I49" s="54"/>
      <c r="J49" s="54"/>
      <c r="K49" s="53"/>
      <c r="L49" s="48" t="s">
        <v>258</v>
      </c>
      <c r="M49" s="48" t="s">
        <v>259</v>
      </c>
      <c r="X49" s="48">
        <f>IF(ISNUMBER($V25),$Q25,"")</f>
      </c>
      <c r="Y49" s="48" t="e">
        <f>Y25+Z49</f>
        <v>#N/A</v>
      </c>
      <c r="Z49" s="48">
        <f>B60</f>
        <v>0</v>
      </c>
      <c r="AA49" s="48" t="e">
        <f>VLOOKUP($Y49,HPs!$M$65:$P$80,2,FALSE)</f>
        <v>#N/A</v>
      </c>
      <c r="AB49" s="49" t="e">
        <f>VLOOKUP($Y49,HPs!$M$65:$P$80,3,FALSE)</f>
        <v>#N/A</v>
      </c>
    </row>
    <row r="50" spans="1:28" ht="12">
      <c r="A50" s="58">
        <f>IF(ISNUMBER($L50),VLOOKUP($M50,Talents!$B$68:$F$96,4),"")</f>
      </c>
      <c r="B50" s="59"/>
      <c r="C50" s="69"/>
      <c r="D50" s="73">
        <f>IF(ISNUMBER($L50),VLOOKUP($M50,Talents!$B$68:$F$96,5),"")</f>
      </c>
      <c r="E50" s="61"/>
      <c r="F50" s="59"/>
      <c r="G50" s="59"/>
      <c r="H50" s="59"/>
      <c r="I50" s="61"/>
      <c r="J50" s="62"/>
      <c r="K50" s="53">
        <v>1</v>
      </c>
      <c r="L50" s="48" t="e">
        <f aca="true" t="shared" si="16" ref="L50:L55">IF($K50&lt;=$C$22,$K50,"")</f>
        <v>#N/A</v>
      </c>
      <c r="M50" s="26"/>
      <c r="X50" s="48">
        <f aca="true" t="shared" si="17" ref="X50:X60">IF(ISNUMBER($V26),$Q26,"")</f>
      </c>
      <c r="Y50" s="48" t="e">
        <f aca="true" t="shared" si="18" ref="Y50:Y62">Y26+Z50</f>
        <v>#N/A</v>
      </c>
      <c r="Z50" s="48">
        <f>B64</f>
        <v>0</v>
      </c>
      <c r="AA50" s="48" t="e">
        <f>VLOOKUP($Y50,HPs!$M$65:$P$80,2,FALSE)</f>
        <v>#N/A</v>
      </c>
      <c r="AB50" s="49" t="e">
        <f>VLOOKUP($Y50,HPs!$M$65:$P$80,3,FALSE)</f>
        <v>#N/A</v>
      </c>
    </row>
    <row r="51" spans="1:28" ht="12">
      <c r="A51" s="63">
        <f>IF(ISNUMBER($L51),VLOOKUP($M51,Talents!$B$68:$F$96,4),"")</f>
      </c>
      <c r="B51" s="53"/>
      <c r="C51" s="70"/>
      <c r="D51" s="74">
        <f>IF(ISNUMBER($L51),VLOOKUP($M51,Talents!$B$68:$F$96,5),"")</f>
      </c>
      <c r="E51" s="51"/>
      <c r="F51" s="53"/>
      <c r="G51" s="53"/>
      <c r="H51" s="53"/>
      <c r="I51" s="51"/>
      <c r="J51" s="65"/>
      <c r="K51" s="53">
        <v>2</v>
      </c>
      <c r="L51" s="48" t="e">
        <f t="shared" si="16"/>
        <v>#N/A</v>
      </c>
      <c r="M51" s="26"/>
      <c r="X51" s="48">
        <f t="shared" si="17"/>
      </c>
      <c r="Y51" s="48" t="e">
        <f t="shared" si="18"/>
        <v>#N/A</v>
      </c>
      <c r="Z51" s="48">
        <f>B68</f>
        <v>0</v>
      </c>
      <c r="AA51" s="48" t="e">
        <f>VLOOKUP($Y51,HPs!$M$65:$P$80,2,FALSE)</f>
        <v>#N/A</v>
      </c>
      <c r="AB51" s="49" t="e">
        <f>VLOOKUP($Y51,HPs!$M$65:$P$80,3,FALSE)</f>
        <v>#N/A</v>
      </c>
    </row>
    <row r="52" spans="1:28" ht="12">
      <c r="A52" s="63">
        <f>IF(ISNUMBER($L52),VLOOKUP($M52,Talents!$B$68:$F$96,4),"")</f>
      </c>
      <c r="B52" s="53"/>
      <c r="C52" s="70"/>
      <c r="D52" s="74">
        <f>IF(ISNUMBER($L52),VLOOKUP($M52,Talents!$B$68:$F$96,5),"")</f>
      </c>
      <c r="E52" s="51"/>
      <c r="F52" s="53"/>
      <c r="G52" s="53"/>
      <c r="H52" s="53"/>
      <c r="I52" s="51"/>
      <c r="J52" s="65"/>
      <c r="K52" s="53">
        <v>3</v>
      </c>
      <c r="L52" s="48" t="e">
        <f t="shared" si="16"/>
        <v>#N/A</v>
      </c>
      <c r="M52" s="26"/>
      <c r="X52" s="48">
        <f t="shared" si="17"/>
      </c>
      <c r="Y52" s="48" t="e">
        <f t="shared" si="18"/>
        <v>#N/A</v>
      </c>
      <c r="Z52" s="48">
        <f>B72</f>
        <v>0</v>
      </c>
      <c r="AA52" s="48" t="e">
        <f>VLOOKUP($Y52,HPs!$M$65:$P$80,2,FALSE)</f>
        <v>#N/A</v>
      </c>
      <c r="AB52" s="49" t="e">
        <f>VLOOKUP($Y52,HPs!$M$65:$P$80,3,FALSE)</f>
        <v>#N/A</v>
      </c>
    </row>
    <row r="53" spans="1:28" ht="12">
      <c r="A53" s="63">
        <f>IF(ISNUMBER($L53),VLOOKUP($M53,Talents!$B$68:$F$96,4),"")</f>
      </c>
      <c r="B53" s="53"/>
      <c r="C53" s="70"/>
      <c r="D53" s="74">
        <f>IF(ISNUMBER($L53),VLOOKUP($M53,Talents!$B$68:$F$96,5),"")</f>
      </c>
      <c r="E53" s="51"/>
      <c r="F53" s="53"/>
      <c r="G53" s="53"/>
      <c r="H53" s="53"/>
      <c r="I53" s="51"/>
      <c r="J53" s="65"/>
      <c r="K53" s="53">
        <v>4</v>
      </c>
      <c r="L53" s="48" t="e">
        <f t="shared" si="16"/>
        <v>#N/A</v>
      </c>
      <c r="M53" s="26"/>
      <c r="X53" s="48">
        <f t="shared" si="17"/>
      </c>
      <c r="Y53" s="48" t="e">
        <f t="shared" si="18"/>
        <v>#N/A</v>
      </c>
      <c r="Z53" s="48">
        <f>B76</f>
        <v>0</v>
      </c>
      <c r="AA53" s="48" t="e">
        <f>VLOOKUP($Y53,HPs!$M$65:$P$80,2,FALSE)</f>
        <v>#N/A</v>
      </c>
      <c r="AB53" s="49" t="e">
        <f>VLOOKUP($Y53,HPs!$M$65:$P$80,3,FALSE)</f>
        <v>#N/A</v>
      </c>
    </row>
    <row r="54" spans="1:28" ht="12">
      <c r="A54" s="63">
        <f>IF(ISNUMBER($L54),VLOOKUP($M54,Talents!$B$68:$F$96,4),"")</f>
      </c>
      <c r="B54" s="53"/>
      <c r="C54" s="70"/>
      <c r="D54" s="74">
        <f>IF(ISNUMBER($L54),VLOOKUP($M54,Talents!$B$68:$F$96,5),"")</f>
      </c>
      <c r="E54" s="51"/>
      <c r="F54" s="53"/>
      <c r="G54" s="53"/>
      <c r="H54" s="53"/>
      <c r="I54" s="51"/>
      <c r="J54" s="65"/>
      <c r="K54" s="53">
        <v>5</v>
      </c>
      <c r="L54" s="48" t="e">
        <f t="shared" si="16"/>
        <v>#N/A</v>
      </c>
      <c r="M54" s="26"/>
      <c r="X54" s="48">
        <f t="shared" si="17"/>
      </c>
      <c r="Y54" s="48" t="e">
        <f t="shared" si="18"/>
        <v>#N/A</v>
      </c>
      <c r="Z54" s="48">
        <f>B80</f>
        <v>0</v>
      </c>
      <c r="AA54" s="48" t="e">
        <f>VLOOKUP($Y54,HPs!$M$65:$P$80,2,FALSE)</f>
        <v>#N/A</v>
      </c>
      <c r="AB54" s="49" t="e">
        <f>VLOOKUP($Y54,HPs!$M$65:$P$80,3,FALSE)</f>
        <v>#N/A</v>
      </c>
    </row>
    <row r="55" spans="1:28" ht="12">
      <c r="A55" s="67">
        <f>IF(ISNUMBER($L55),VLOOKUP($M55,Talents!$B$68:$F$96,4),"")</f>
      </c>
      <c r="B55" s="55"/>
      <c r="C55" s="71"/>
      <c r="D55" s="75">
        <f>IF(ISNUMBER($L55),VLOOKUP($M55,Talents!$B$68:$F$96,5),"")</f>
      </c>
      <c r="E55" s="54"/>
      <c r="F55" s="55"/>
      <c r="G55" s="55"/>
      <c r="H55" s="55"/>
      <c r="I55" s="54"/>
      <c r="J55" s="72"/>
      <c r="K55" s="53">
        <v>6</v>
      </c>
      <c r="L55" s="48" t="e">
        <f t="shared" si="16"/>
        <v>#N/A</v>
      </c>
      <c r="M55" s="26"/>
      <c r="X55" s="48">
        <f t="shared" si="17"/>
      </c>
      <c r="Y55" s="48" t="e">
        <f t="shared" si="18"/>
        <v>#N/A</v>
      </c>
      <c r="Z55" s="48">
        <f>B84</f>
        <v>0</v>
      </c>
      <c r="AA55" s="48" t="e">
        <f>VLOOKUP($Y55,HPs!$M$65:$P$80,2,FALSE)</f>
        <v>#N/A</v>
      </c>
      <c r="AB55" s="49" t="e">
        <f>VLOOKUP($Y55,HPs!$M$65:$P$80,3,FALSE)</f>
        <v>#N/A</v>
      </c>
    </row>
    <row r="56" spans="1:28" ht="12">
      <c r="A56" s="53"/>
      <c r="B56" s="53" t="s">
        <v>738</v>
      </c>
      <c r="C56" s="53"/>
      <c r="D56" s="53"/>
      <c r="E56" s="51"/>
      <c r="F56" s="53"/>
      <c r="G56" s="53"/>
      <c r="H56" s="53"/>
      <c r="I56" s="51"/>
      <c r="J56" s="51"/>
      <c r="X56" s="48">
        <f t="shared" si="17"/>
      </c>
      <c r="Y56" s="48" t="e">
        <f t="shared" si="18"/>
        <v>#N/A</v>
      </c>
      <c r="Z56" s="48">
        <f>B88</f>
        <v>0</v>
      </c>
      <c r="AA56" s="48" t="e">
        <f>VLOOKUP($Y56,HPs!$M$65:$P$80,2,FALSE)</f>
        <v>#N/A</v>
      </c>
      <c r="AB56" s="49" t="e">
        <f>VLOOKUP($Y56,HPs!$M$65:$P$80,3,FALSE)</f>
        <v>#N/A</v>
      </c>
    </row>
    <row r="57" spans="1:28" ht="12.75">
      <c r="A57" s="82"/>
      <c r="B57" s="82"/>
      <c r="C57" s="82"/>
      <c r="D57" s="82"/>
      <c r="E57" s="81"/>
      <c r="F57" s="82"/>
      <c r="H57" s="82"/>
      <c r="I57" s="81"/>
      <c r="J57" s="81"/>
      <c r="X57" s="48">
        <f t="shared" si="17"/>
      </c>
      <c r="Y57" s="48" t="e">
        <f t="shared" si="18"/>
        <v>#N/A</v>
      </c>
      <c r="Z57" s="48">
        <f>B92</f>
        <v>0</v>
      </c>
      <c r="AA57" s="48" t="e">
        <f>VLOOKUP($Y57,HPs!$M$65:$P$80,2,FALSE)</f>
        <v>#N/A</v>
      </c>
      <c r="AB57" s="49" t="e">
        <f>VLOOKUP($Y57,HPs!$M$65:$P$80,3,FALSE)</f>
        <v>#N/A</v>
      </c>
    </row>
    <row r="58" spans="1:28" s="83" customFormat="1" ht="12.75">
      <c r="A58" s="84"/>
      <c r="B58" s="107">
        <f>IF(ISBLANK(B25),"",B25)</f>
      </c>
      <c r="C58" s="122">
        <f>IF(ISBLANK(C25),"",C25)</f>
      </c>
      <c r="D58" s="108"/>
      <c r="E58" s="108">
        <f>IF(ISBLANK(E25),"",E25)</f>
      </c>
      <c r="F58" s="108">
        <f>IF(ISBLANK(F25),"",F25)</f>
      </c>
      <c r="G58" s="120">
        <f>IF(ISBLANK(G25),"",G25)</f>
      </c>
      <c r="H58" s="108"/>
      <c r="I58" s="108"/>
      <c r="J58" s="110"/>
      <c r="X58" s="48">
        <f t="shared" si="17"/>
      </c>
      <c r="Y58" s="48" t="e">
        <f t="shared" si="18"/>
        <v>#N/A</v>
      </c>
      <c r="Z58" s="83">
        <f>B96</f>
        <v>0</v>
      </c>
      <c r="AA58" s="48" t="e">
        <f>VLOOKUP($Y58,HPs!$M$65:$P$80,2,FALSE)</f>
        <v>#N/A</v>
      </c>
      <c r="AB58" s="49" t="e">
        <f>VLOOKUP($Y58,HPs!$M$65:$P$80,3,FALSE)</f>
        <v>#N/A</v>
      </c>
    </row>
    <row r="59" spans="1:28" ht="12.75">
      <c r="A59" s="82"/>
      <c r="B59" s="121">
        <f>IF(ISNUMBER($V25),VLOOKUP($X25,Powers!$D$53:$H$315,5),"")</f>
      </c>
      <c r="C59" s="111"/>
      <c r="D59" s="111"/>
      <c r="E59" s="112"/>
      <c r="F59" s="113"/>
      <c r="G59" s="111"/>
      <c r="H59" s="111"/>
      <c r="I59" s="112"/>
      <c r="J59" s="114"/>
      <c r="X59" s="48">
        <f t="shared" si="17"/>
      </c>
      <c r="Y59" s="48" t="e">
        <f t="shared" si="18"/>
        <v>#N/A</v>
      </c>
      <c r="Z59" s="48">
        <f>B100</f>
        <v>0</v>
      </c>
      <c r="AA59" s="48" t="e">
        <f>VLOOKUP($Y59,HPs!$M$65:$P$80,2,FALSE)</f>
        <v>#N/A</v>
      </c>
      <c r="AB59" s="49" t="e">
        <f>VLOOKUP($Y59,HPs!$M$65:$P$80,3,FALSE)</f>
        <v>#N/A</v>
      </c>
    </row>
    <row r="60" spans="1:28" ht="12.75">
      <c r="A60" s="82"/>
      <c r="B60" s="106"/>
      <c r="C60" s="134" t="s">
        <v>848</v>
      </c>
      <c r="D60" s="156"/>
      <c r="E60" s="157"/>
      <c r="F60" s="157"/>
      <c r="G60" s="157"/>
      <c r="H60" s="157"/>
      <c r="I60" s="157"/>
      <c r="J60" s="158"/>
      <c r="X60" s="48">
        <f t="shared" si="17"/>
      </c>
      <c r="Y60" s="48" t="e">
        <f t="shared" si="18"/>
        <v>#N/A</v>
      </c>
      <c r="Z60" s="48">
        <f>B104</f>
        <v>0</v>
      </c>
      <c r="AA60" s="48" t="e">
        <f>VLOOKUP($Y60,HPs!$M$65:$P$80,2,FALSE)</f>
        <v>#N/A</v>
      </c>
      <c r="AB60" s="49" t="e">
        <f>VLOOKUP($Y60,HPs!$M$65:$P$80,3,FALSE)</f>
        <v>#N/A</v>
      </c>
    </row>
    <row r="61" spans="1:28" ht="12.75">
      <c r="A61" s="82"/>
      <c r="B61" s="94"/>
      <c r="C61" s="115"/>
      <c r="D61" s="146"/>
      <c r="E61" s="147"/>
      <c r="F61" s="147"/>
      <c r="G61" s="147"/>
      <c r="H61" s="147"/>
      <c r="I61" s="147"/>
      <c r="J61" s="148"/>
      <c r="X61" s="48">
        <f>IF(ISNUMBER($V37),$Q37,"")</f>
      </c>
      <c r="Y61" s="48" t="e">
        <f t="shared" si="18"/>
        <v>#N/A</v>
      </c>
      <c r="Z61" s="48">
        <f>B108</f>
        <v>0</v>
      </c>
      <c r="AA61" s="48" t="e">
        <f>VLOOKUP($Y61,HPs!$M$65:$P$80,2,FALSE)</f>
        <v>#N/A</v>
      </c>
      <c r="AB61" s="49" t="e">
        <f>VLOOKUP($Y61,HPs!$M$65:$P$80,3,FALSE)</f>
        <v>#N/A</v>
      </c>
    </row>
    <row r="62" spans="1:28" ht="12.75">
      <c r="A62" s="82"/>
      <c r="B62" s="107">
        <f>IF(ISBLANK(B26),"",B26)</f>
      </c>
      <c r="C62" s="122">
        <f>IF(ISBLANK(C26),"",C26)</f>
      </c>
      <c r="D62" s="109"/>
      <c r="E62" s="108">
        <f>IF(ISBLANK(E26),"",E26)</f>
      </c>
      <c r="F62" s="108">
        <f>IF(ISBLANK(F26),"",F26)</f>
      </c>
      <c r="G62" s="120">
        <f>IF(ISBLANK(G26),"",G26)</f>
      </c>
      <c r="H62" s="109"/>
      <c r="I62" s="116"/>
      <c r="J62" s="117"/>
      <c r="X62" s="48">
        <f>IF(ISNUMBER($V38),$Q38,"")</f>
      </c>
      <c r="Y62" s="48" t="e">
        <f t="shared" si="18"/>
        <v>#N/A</v>
      </c>
      <c r="Z62" s="48">
        <f>B112</f>
        <v>0</v>
      </c>
      <c r="AA62" s="48" t="e">
        <f>VLOOKUP($Y62,HPs!$M$65:$P$80,2,FALSE)</f>
        <v>#N/A</v>
      </c>
      <c r="AB62" s="49" t="e">
        <f>VLOOKUP($Y62,HPs!$M$65:$P$80,3,FALSE)</f>
        <v>#N/A</v>
      </c>
    </row>
    <row r="63" spans="1:10" ht="12.75">
      <c r="A63" s="82"/>
      <c r="B63" s="121">
        <f>IF(ISNUMBER($V26),VLOOKUP($X26,Powers!$D$53:$H$315,5),"")</f>
      </c>
      <c r="C63" s="111"/>
      <c r="D63" s="111"/>
      <c r="E63" s="112"/>
      <c r="F63" s="113"/>
      <c r="G63" s="111"/>
      <c r="H63" s="111"/>
      <c r="I63" s="112"/>
      <c r="J63" s="114"/>
    </row>
    <row r="64" spans="1:10" ht="12.75">
      <c r="A64" s="82"/>
      <c r="B64" s="106"/>
      <c r="C64" s="134" t="s">
        <v>848</v>
      </c>
      <c r="D64" s="156"/>
      <c r="E64" s="157"/>
      <c r="F64" s="157"/>
      <c r="G64" s="157"/>
      <c r="H64" s="157"/>
      <c r="I64" s="157"/>
      <c r="J64" s="158"/>
    </row>
    <row r="65" spans="1:10" ht="12.75">
      <c r="A65" s="82"/>
      <c r="B65" s="94"/>
      <c r="C65" s="115"/>
      <c r="D65" s="146"/>
      <c r="E65" s="147"/>
      <c r="F65" s="147"/>
      <c r="G65" s="147"/>
      <c r="H65" s="147"/>
      <c r="I65" s="147"/>
      <c r="J65" s="148"/>
    </row>
    <row r="66" spans="1:10" ht="12.75">
      <c r="A66" s="82"/>
      <c r="B66" s="107">
        <f>IF(ISBLANK(B27),"",B27)</f>
      </c>
      <c r="C66" s="122">
        <f>IF(ISBLANK(C27),"",C27)</f>
      </c>
      <c r="D66" s="109"/>
      <c r="E66" s="108">
        <f>IF(ISBLANK(E27),"",E27)</f>
      </c>
      <c r="F66" s="108">
        <f>IF(ISBLANK(F27),"",F27)</f>
      </c>
      <c r="G66" s="120">
        <f>IF(ISBLANK(G27),"",G27)</f>
      </c>
      <c r="H66" s="109"/>
      <c r="I66" s="116"/>
      <c r="J66" s="117"/>
    </row>
    <row r="67" spans="1:10" ht="12.75">
      <c r="A67" s="82"/>
      <c r="B67" s="121">
        <f>IF(ISNUMBER($V27),VLOOKUP($X27,Powers!$D$53:$H$315,5),"")</f>
      </c>
      <c r="C67" s="118"/>
      <c r="D67" s="111"/>
      <c r="E67" s="112"/>
      <c r="F67" s="113"/>
      <c r="G67" s="111"/>
      <c r="H67" s="111"/>
      <c r="I67" s="112"/>
      <c r="J67" s="114"/>
    </row>
    <row r="68" spans="1:10" ht="12.75">
      <c r="A68" s="82"/>
      <c r="B68" s="106"/>
      <c r="C68" s="134" t="s">
        <v>848</v>
      </c>
      <c r="D68" s="156"/>
      <c r="E68" s="157"/>
      <c r="F68" s="157"/>
      <c r="G68" s="157"/>
      <c r="H68" s="157"/>
      <c r="I68" s="157"/>
      <c r="J68" s="158"/>
    </row>
    <row r="69" spans="1:10" ht="12.75">
      <c r="A69" s="82"/>
      <c r="B69" s="103"/>
      <c r="C69" s="119"/>
      <c r="D69" s="146"/>
      <c r="E69" s="147"/>
      <c r="F69" s="147"/>
      <c r="G69" s="147"/>
      <c r="H69" s="147"/>
      <c r="I69" s="147"/>
      <c r="J69" s="148"/>
    </row>
    <row r="70" spans="1:10" ht="12.75">
      <c r="A70" s="82"/>
      <c r="B70" s="107">
        <f>IF(ISBLANK(B28),"",B28)</f>
      </c>
      <c r="C70" s="122">
        <f>IF(ISBLANK(C28),"",C28)</f>
      </c>
      <c r="D70" s="109"/>
      <c r="E70" s="108">
        <f>IF(ISBLANK(E28),"",E28)</f>
      </c>
      <c r="F70" s="108">
        <f>IF(ISBLANK(F28),"",F28)</f>
      </c>
      <c r="G70" s="120">
        <f>IF(ISBLANK(G28),"",G28)</f>
      </c>
      <c r="H70" s="109"/>
      <c r="I70" s="116"/>
      <c r="J70" s="117"/>
    </row>
    <row r="71" spans="1:10" ht="12.75">
      <c r="A71" s="82"/>
      <c r="B71" s="121">
        <f>IF(ISNUMBER($V28),VLOOKUP($X28,Powers!$D$53:$H$315,5),"")</f>
      </c>
      <c r="C71" s="118"/>
      <c r="D71" s="111"/>
      <c r="E71" s="112"/>
      <c r="F71" s="113"/>
      <c r="G71" s="111"/>
      <c r="H71" s="111"/>
      <c r="I71" s="112"/>
      <c r="J71" s="114"/>
    </row>
    <row r="72" spans="1:10" ht="12.75">
      <c r="A72" s="82"/>
      <c r="B72" s="106"/>
      <c r="C72" s="134" t="s">
        <v>848</v>
      </c>
      <c r="D72" s="156"/>
      <c r="E72" s="157"/>
      <c r="F72" s="157"/>
      <c r="G72" s="157"/>
      <c r="H72" s="157"/>
      <c r="I72" s="157"/>
      <c r="J72" s="158"/>
    </row>
    <row r="73" spans="1:10" ht="12.75">
      <c r="A73" s="82"/>
      <c r="B73" s="103"/>
      <c r="C73" s="119"/>
      <c r="D73" s="146"/>
      <c r="E73" s="147"/>
      <c r="F73" s="147"/>
      <c r="G73" s="147"/>
      <c r="H73" s="147"/>
      <c r="I73" s="147"/>
      <c r="J73" s="148"/>
    </row>
    <row r="74" spans="1:10" ht="12.75">
      <c r="A74" s="82"/>
      <c r="B74" s="107">
        <f>IF(ISBLANK(B29),"",B29)</f>
      </c>
      <c r="C74" s="122">
        <f>IF(ISBLANK(C29),"",C29)</f>
      </c>
      <c r="D74" s="109"/>
      <c r="E74" s="108">
        <f>IF(ISBLANK(E29),"",E29)</f>
      </c>
      <c r="F74" s="108">
        <f>IF(ISBLANK(F29),"",F29)</f>
      </c>
      <c r="G74" s="120">
        <f>IF(ISBLANK(G29),"",G29)</f>
      </c>
      <c r="H74" s="109"/>
      <c r="I74" s="116"/>
      <c r="J74" s="117"/>
    </row>
    <row r="75" spans="1:10" ht="12.75">
      <c r="A75" s="82"/>
      <c r="B75" s="121">
        <f>IF(ISNUMBER($V29),VLOOKUP($X29,Powers!$D$53:$H$315,5),"")</f>
      </c>
      <c r="C75" s="118"/>
      <c r="D75" s="111"/>
      <c r="E75" s="112"/>
      <c r="F75" s="111"/>
      <c r="G75" s="111"/>
      <c r="H75" s="111"/>
      <c r="I75" s="112"/>
      <c r="J75" s="114"/>
    </row>
    <row r="76" spans="1:10" ht="12.75">
      <c r="A76" s="82"/>
      <c r="B76" s="106"/>
      <c r="C76" s="134" t="s">
        <v>848</v>
      </c>
      <c r="D76" s="156"/>
      <c r="E76" s="157"/>
      <c r="F76" s="157"/>
      <c r="G76" s="157"/>
      <c r="H76" s="157"/>
      <c r="I76" s="157"/>
      <c r="J76" s="158"/>
    </row>
    <row r="77" spans="1:10" ht="12.75">
      <c r="A77" s="82"/>
      <c r="B77" s="103"/>
      <c r="C77" s="119"/>
      <c r="D77" s="146"/>
      <c r="E77" s="147"/>
      <c r="F77" s="147"/>
      <c r="G77" s="147"/>
      <c r="H77" s="147"/>
      <c r="I77" s="147"/>
      <c r="J77" s="148"/>
    </row>
    <row r="78" spans="1:10" ht="12.75">
      <c r="A78" s="82"/>
      <c r="B78" s="107">
        <f>IF(ISBLANK(B30),"",B30)</f>
      </c>
      <c r="C78" s="122">
        <f>IF(ISBLANK(C30),"",C30)</f>
      </c>
      <c r="D78" s="109"/>
      <c r="E78" s="108">
        <f>IF(ISBLANK(E30),"",E30)</f>
      </c>
      <c r="F78" s="108">
        <f>IF(ISBLANK(F30),"",F30)</f>
      </c>
      <c r="G78" s="120">
        <f>IF(ISBLANK(G30),"",G30)</f>
      </c>
      <c r="H78" s="109"/>
      <c r="I78" s="116"/>
      <c r="J78" s="117"/>
    </row>
    <row r="79" spans="1:10" ht="12.75">
      <c r="A79" s="82"/>
      <c r="B79" s="121">
        <f>IF(ISNUMBER($V30),VLOOKUP($X30,Powers!$D$53:$H$315,5),"")</f>
      </c>
      <c r="C79" s="118"/>
      <c r="D79" s="111"/>
      <c r="E79" s="112"/>
      <c r="F79" s="111"/>
      <c r="G79" s="111"/>
      <c r="H79" s="111"/>
      <c r="I79" s="112"/>
      <c r="J79" s="114"/>
    </row>
    <row r="80" spans="1:10" ht="12.75">
      <c r="A80" s="82"/>
      <c r="B80" s="106"/>
      <c r="C80" s="134" t="s">
        <v>848</v>
      </c>
      <c r="D80" s="156"/>
      <c r="E80" s="157"/>
      <c r="F80" s="157"/>
      <c r="G80" s="157"/>
      <c r="H80" s="157"/>
      <c r="I80" s="157"/>
      <c r="J80" s="158"/>
    </row>
    <row r="81" spans="1:10" ht="12.75">
      <c r="A81" s="82"/>
      <c r="B81" s="103"/>
      <c r="C81" s="119"/>
      <c r="D81" s="146"/>
      <c r="E81" s="147"/>
      <c r="F81" s="147"/>
      <c r="G81" s="147"/>
      <c r="H81" s="147"/>
      <c r="I81" s="147"/>
      <c r="J81" s="148"/>
    </row>
    <row r="82" spans="1:10" ht="12.75">
      <c r="A82" s="82"/>
      <c r="B82" s="107">
        <f>IF(ISBLANK(B31),"",B31)</f>
      </c>
      <c r="C82" s="122">
        <f>IF(ISBLANK(C31),"",C31)</f>
      </c>
      <c r="D82" s="109"/>
      <c r="E82" s="108">
        <f>IF(ISBLANK(E31),"",E31)</f>
      </c>
      <c r="F82" s="108">
        <f>IF(ISBLANK(F31),"",F31)</f>
      </c>
      <c r="G82" s="120">
        <f>IF(ISBLANK(G31),"",G31)</f>
      </c>
      <c r="H82" s="109"/>
      <c r="I82" s="116"/>
      <c r="J82" s="117"/>
    </row>
    <row r="83" spans="1:10" ht="12.75">
      <c r="A83" s="82"/>
      <c r="B83" s="121">
        <f>IF(ISNUMBER($V31),VLOOKUP($X31,Powers!$D$53:$H$315,5),"")</f>
      </c>
      <c r="C83" s="118"/>
      <c r="D83" s="111"/>
      <c r="E83" s="112"/>
      <c r="F83" s="111"/>
      <c r="G83" s="111"/>
      <c r="H83" s="111"/>
      <c r="I83" s="112"/>
      <c r="J83" s="114"/>
    </row>
    <row r="84" spans="1:10" ht="12.75">
      <c r="A84" s="82"/>
      <c r="B84" s="106"/>
      <c r="C84" s="134" t="s">
        <v>848</v>
      </c>
      <c r="D84" s="156"/>
      <c r="E84" s="157"/>
      <c r="F84" s="157"/>
      <c r="G84" s="157"/>
      <c r="H84" s="157"/>
      <c r="I84" s="157"/>
      <c r="J84" s="158"/>
    </row>
    <row r="85" spans="1:10" ht="12.75">
      <c r="A85" s="82"/>
      <c r="B85" s="103"/>
      <c r="C85" s="119"/>
      <c r="D85" s="146"/>
      <c r="E85" s="147"/>
      <c r="F85" s="147"/>
      <c r="G85" s="147"/>
      <c r="H85" s="147"/>
      <c r="I85" s="147"/>
      <c r="J85" s="148"/>
    </row>
    <row r="86" spans="1:10" ht="12.75">
      <c r="A86" s="82"/>
      <c r="B86" s="107">
        <f>IF(ISBLANK(B32),"",B32)</f>
      </c>
      <c r="C86" s="122">
        <f>IF(ISBLANK(C32),"",C32)</f>
      </c>
      <c r="D86" s="109"/>
      <c r="E86" s="108">
        <f>IF(ISBLANK(E32),"",E32)</f>
      </c>
      <c r="F86" s="108">
        <f>IF(ISBLANK(F32),"",F32)</f>
      </c>
      <c r="G86" s="120">
        <f>IF(ISBLANK(G32),"",G32)</f>
      </c>
      <c r="H86" s="109"/>
      <c r="I86" s="116"/>
      <c r="J86" s="117"/>
    </row>
    <row r="87" spans="1:10" ht="12.75">
      <c r="A87" s="82"/>
      <c r="B87" s="121">
        <f>IF(ISNUMBER($V32),VLOOKUP($X32,Powers!$D$53:$H$315,5),"")</f>
      </c>
      <c r="C87" s="118"/>
      <c r="D87" s="111"/>
      <c r="E87" s="112"/>
      <c r="F87" s="111"/>
      <c r="G87" s="111"/>
      <c r="H87" s="111"/>
      <c r="I87" s="112"/>
      <c r="J87" s="114"/>
    </row>
    <row r="88" spans="1:10" ht="12.75">
      <c r="A88" s="82"/>
      <c r="B88" s="106"/>
      <c r="C88" s="134" t="s">
        <v>848</v>
      </c>
      <c r="D88" s="156"/>
      <c r="E88" s="157"/>
      <c r="F88" s="157"/>
      <c r="G88" s="157"/>
      <c r="H88" s="157"/>
      <c r="I88" s="157"/>
      <c r="J88" s="158"/>
    </row>
    <row r="89" spans="1:10" ht="12.75">
      <c r="A89" s="82"/>
      <c r="B89" s="103"/>
      <c r="C89" s="119"/>
      <c r="D89" s="146"/>
      <c r="E89" s="147"/>
      <c r="F89" s="147"/>
      <c r="G89" s="147"/>
      <c r="H89" s="147"/>
      <c r="I89" s="147"/>
      <c r="J89" s="148"/>
    </row>
    <row r="90" spans="1:10" ht="12.75">
      <c r="A90" s="82"/>
      <c r="B90" s="107">
        <f>IF(ISBLANK(B33),"",B33)</f>
      </c>
      <c r="C90" s="122">
        <f>IF(ISBLANK(C33),"",C33)</f>
      </c>
      <c r="D90" s="109"/>
      <c r="E90" s="108">
        <f>IF(ISBLANK(E33),"",E33)</f>
      </c>
      <c r="F90" s="108">
        <f>IF(ISBLANK(F33),"",F33)</f>
      </c>
      <c r="G90" s="120">
        <f>IF(ISBLANK(G33),"",G33)</f>
      </c>
      <c r="H90" s="109"/>
      <c r="I90" s="116"/>
      <c r="J90" s="117"/>
    </row>
    <row r="91" spans="1:10" ht="12.75">
      <c r="A91" s="82"/>
      <c r="B91" s="121">
        <f>IF(ISNUMBER($V33),VLOOKUP($X33,Powers!$D$53:$H$315,5),"")</f>
      </c>
      <c r="C91" s="118"/>
      <c r="D91" s="111"/>
      <c r="E91" s="112"/>
      <c r="F91" s="111"/>
      <c r="G91" s="111"/>
      <c r="H91" s="111"/>
      <c r="I91" s="112"/>
      <c r="J91" s="114"/>
    </row>
    <row r="92" spans="1:10" ht="12.75">
      <c r="A92" s="82"/>
      <c r="B92" s="106"/>
      <c r="C92" s="134" t="s">
        <v>848</v>
      </c>
      <c r="D92" s="156"/>
      <c r="E92" s="157"/>
      <c r="F92" s="157"/>
      <c r="G92" s="157"/>
      <c r="H92" s="157"/>
      <c r="I92" s="157"/>
      <c r="J92" s="158"/>
    </row>
    <row r="93" spans="1:10" ht="12.75">
      <c r="A93" s="82"/>
      <c r="B93" s="103"/>
      <c r="C93" s="119"/>
      <c r="D93" s="146"/>
      <c r="E93" s="147"/>
      <c r="F93" s="147"/>
      <c r="G93" s="147"/>
      <c r="H93" s="147"/>
      <c r="I93" s="147"/>
      <c r="J93" s="148"/>
    </row>
    <row r="94" spans="1:10" ht="12.75">
      <c r="A94" s="82"/>
      <c r="B94" s="107">
        <f>IF(ISBLANK(B34),"",B34)</f>
      </c>
      <c r="C94" s="122">
        <f>IF(ISBLANK(C34),"",C34)</f>
      </c>
      <c r="D94" s="109"/>
      <c r="E94" s="108">
        <f>IF(ISBLANK(E34),"",E34)</f>
      </c>
      <c r="F94" s="108">
        <f>IF(ISBLANK(F34),"",F34)</f>
      </c>
      <c r="G94" s="120">
        <f>IF(ISBLANK(G34),"",G34)</f>
      </c>
      <c r="H94" s="109"/>
      <c r="I94" s="116"/>
      <c r="J94" s="117"/>
    </row>
    <row r="95" spans="1:10" ht="12.75">
      <c r="A95" s="82"/>
      <c r="B95" s="121">
        <f>IF(ISNUMBER($V34),VLOOKUP($X34,Powers!$D$53:$H$315,5),"")</f>
      </c>
      <c r="C95" s="118"/>
      <c r="D95" s="111"/>
      <c r="E95" s="112"/>
      <c r="F95" s="111"/>
      <c r="G95" s="111"/>
      <c r="H95" s="111"/>
      <c r="I95" s="112"/>
      <c r="J95" s="114"/>
    </row>
    <row r="96" spans="1:10" ht="12.75">
      <c r="A96" s="82"/>
      <c r="B96" s="106"/>
      <c r="C96" s="134" t="s">
        <v>848</v>
      </c>
      <c r="D96" s="156"/>
      <c r="E96" s="157"/>
      <c r="F96" s="157"/>
      <c r="G96" s="157"/>
      <c r="H96" s="157"/>
      <c r="I96" s="157"/>
      <c r="J96" s="158"/>
    </row>
    <row r="97" spans="1:10" ht="12.75">
      <c r="A97" s="82"/>
      <c r="B97" s="103"/>
      <c r="C97" s="119"/>
      <c r="D97" s="146"/>
      <c r="E97" s="147"/>
      <c r="F97" s="147"/>
      <c r="G97" s="147"/>
      <c r="H97" s="147"/>
      <c r="I97" s="147"/>
      <c r="J97" s="148"/>
    </row>
    <row r="98" spans="1:10" ht="12.75">
      <c r="A98" s="82"/>
      <c r="B98" s="107">
        <f>IF(ISBLANK(B35),"",B35)</f>
      </c>
      <c r="C98" s="122">
        <f>IF(ISBLANK(C35),"",C35)</f>
      </c>
      <c r="D98" s="109"/>
      <c r="E98" s="108">
        <f>IF(ISBLANK(E35),"",E35)</f>
      </c>
      <c r="F98" s="108">
        <f>IF(ISBLANK(F35),"",F35)</f>
      </c>
      <c r="G98" s="120">
        <f>IF(ISBLANK(G35),"",G35)</f>
      </c>
      <c r="H98" s="109"/>
      <c r="I98" s="116"/>
      <c r="J98" s="117"/>
    </row>
    <row r="99" spans="1:10" ht="12.75">
      <c r="A99" s="82"/>
      <c r="B99" s="121">
        <f>IF(ISNUMBER($V35),VLOOKUP($X35,Powers!$D$53:$H$315,5),"")</f>
      </c>
      <c r="C99" s="118"/>
      <c r="D99" s="111"/>
      <c r="E99" s="112"/>
      <c r="F99" s="111"/>
      <c r="G99" s="111"/>
      <c r="H99" s="111"/>
      <c r="I99" s="112"/>
      <c r="J99" s="114"/>
    </row>
    <row r="100" spans="1:10" ht="12.75">
      <c r="A100" s="82"/>
      <c r="B100" s="106"/>
      <c r="C100" s="134" t="s">
        <v>848</v>
      </c>
      <c r="D100" s="156"/>
      <c r="E100" s="157"/>
      <c r="F100" s="157"/>
      <c r="G100" s="157"/>
      <c r="H100" s="157"/>
      <c r="I100" s="157"/>
      <c r="J100" s="158"/>
    </row>
    <row r="101" spans="1:10" ht="12.75">
      <c r="A101" s="82"/>
      <c r="B101" s="103"/>
      <c r="C101" s="119"/>
      <c r="D101" s="146"/>
      <c r="E101" s="147"/>
      <c r="F101" s="147"/>
      <c r="G101" s="147"/>
      <c r="H101" s="147"/>
      <c r="I101" s="147"/>
      <c r="J101" s="148"/>
    </row>
    <row r="102" spans="1:10" ht="12.75">
      <c r="A102" s="82"/>
      <c r="B102" s="107">
        <f>IF(ISBLANK(B36),"",B36)</f>
      </c>
      <c r="C102" s="122">
        <f>IF(ISBLANK(C36),"",C36)</f>
      </c>
      <c r="D102" s="109"/>
      <c r="E102" s="108">
        <f>IF(ISBLANK(E36),"",E36)</f>
      </c>
      <c r="F102" s="108">
        <f>IF(ISBLANK(F36),"",F36)</f>
      </c>
      <c r="G102" s="120">
        <f>IF(ISBLANK(G36),"",G36)</f>
      </c>
      <c r="H102" s="109"/>
      <c r="I102" s="116"/>
      <c r="J102" s="117"/>
    </row>
    <row r="103" spans="1:10" ht="12.75">
      <c r="A103" s="82"/>
      <c r="B103" s="121">
        <f>IF(ISNUMBER($V36),VLOOKUP($X36,Powers!$D$53:$H$315,5),"")</f>
      </c>
      <c r="C103" s="118"/>
      <c r="D103" s="111"/>
      <c r="E103" s="112"/>
      <c r="F103" s="111"/>
      <c r="G103" s="111"/>
      <c r="H103" s="111"/>
      <c r="I103" s="112"/>
      <c r="J103" s="114"/>
    </row>
    <row r="104" spans="1:10" ht="12.75">
      <c r="A104" s="82"/>
      <c r="B104" s="106"/>
      <c r="C104" s="134" t="s">
        <v>848</v>
      </c>
      <c r="D104" s="156"/>
      <c r="E104" s="157"/>
      <c r="F104" s="157"/>
      <c r="G104" s="157"/>
      <c r="H104" s="157"/>
      <c r="I104" s="157"/>
      <c r="J104" s="158"/>
    </row>
    <row r="105" spans="1:10" ht="12.75">
      <c r="A105" s="24"/>
      <c r="B105" s="94"/>
      <c r="C105" s="115"/>
      <c r="D105" s="146"/>
      <c r="E105" s="147"/>
      <c r="F105" s="147"/>
      <c r="G105" s="147"/>
      <c r="H105" s="147"/>
      <c r="I105" s="147"/>
      <c r="J105" s="148"/>
    </row>
    <row r="106" spans="1:10" ht="12.75">
      <c r="A106" s="24"/>
      <c r="B106" s="107">
        <f>IF(ISBLANK(B37),"",B37)</f>
      </c>
      <c r="C106" s="122">
        <f>IF(ISBLANK(C37),"",C37)</f>
      </c>
      <c r="D106" s="109"/>
      <c r="E106" s="108">
        <f>IF(ISBLANK(E37),"",E37)</f>
      </c>
      <c r="F106" s="108">
        <f>IF(ISBLANK(F37),"",F37)</f>
      </c>
      <c r="G106" s="120">
        <f>IF(ISBLANK(G37),"",G37)</f>
      </c>
      <c r="H106" s="109"/>
      <c r="I106" s="116"/>
      <c r="J106" s="117"/>
    </row>
    <row r="107" spans="1:10" ht="12.75">
      <c r="A107" s="24"/>
      <c r="B107" s="121">
        <f>IF(ISNUMBER($V37),VLOOKUP($X37,Powers!$D$53:$H$315,5),"")</f>
      </c>
      <c r="C107" s="111"/>
      <c r="D107" s="111"/>
      <c r="E107" s="112"/>
      <c r="F107" s="111"/>
      <c r="G107" s="111"/>
      <c r="H107" s="111"/>
      <c r="I107" s="112"/>
      <c r="J107" s="114"/>
    </row>
    <row r="108" spans="1:10" ht="12.75">
      <c r="A108" s="24"/>
      <c r="B108" s="106"/>
      <c r="C108" s="134" t="s">
        <v>848</v>
      </c>
      <c r="D108" s="156"/>
      <c r="E108" s="157"/>
      <c r="F108" s="157"/>
      <c r="G108" s="157"/>
      <c r="H108" s="157"/>
      <c r="I108" s="157"/>
      <c r="J108" s="158"/>
    </row>
    <row r="109" spans="1:10" ht="12.75">
      <c r="A109" s="24"/>
      <c r="B109" s="94"/>
      <c r="C109" s="115"/>
      <c r="D109" s="146"/>
      <c r="E109" s="147"/>
      <c r="F109" s="147"/>
      <c r="G109" s="147"/>
      <c r="H109" s="147"/>
      <c r="I109" s="147"/>
      <c r="J109" s="148"/>
    </row>
    <row r="110" spans="1:10" ht="12.75">
      <c r="A110" s="24"/>
      <c r="B110" s="107">
        <f>IF(ISBLANK(B38),"",B38)</f>
      </c>
      <c r="C110" s="122">
        <f>IF(ISBLANK(C38),"",C38)</f>
      </c>
      <c r="D110" s="109"/>
      <c r="E110" s="108">
        <f>IF(ISBLANK(E38),"",E38)</f>
      </c>
      <c r="F110" s="108">
        <f>IF(ISBLANK(F38),"",F38)</f>
      </c>
      <c r="G110" s="120">
        <f>IF(ISBLANK(G38),"",G38)</f>
      </c>
      <c r="H110" s="109"/>
      <c r="I110" s="116"/>
      <c r="J110" s="117"/>
    </row>
    <row r="111" spans="1:10" ht="12.75">
      <c r="A111" s="24"/>
      <c r="B111" s="121">
        <f>IF(ISNUMBER($V38),VLOOKUP($X38,Powers!$D$53:$H$315,5),"")</f>
      </c>
      <c r="C111" s="111"/>
      <c r="D111" s="111"/>
      <c r="E111" s="112"/>
      <c r="F111" s="111"/>
      <c r="G111" s="111"/>
      <c r="H111" s="111"/>
      <c r="I111" s="112"/>
      <c r="J111" s="114"/>
    </row>
    <row r="112" spans="1:10" ht="12.75">
      <c r="A112" s="24"/>
      <c r="B112" s="106"/>
      <c r="C112" s="134" t="s">
        <v>848</v>
      </c>
      <c r="D112" s="156"/>
      <c r="E112" s="157"/>
      <c r="F112" s="157"/>
      <c r="G112" s="157"/>
      <c r="H112" s="157"/>
      <c r="I112" s="157"/>
      <c r="J112" s="158"/>
    </row>
    <row r="113" spans="1:10" ht="12.75">
      <c r="A113" s="24"/>
      <c r="B113" s="94"/>
      <c r="C113" s="115"/>
      <c r="D113" s="146"/>
      <c r="E113" s="147"/>
      <c r="F113" s="147"/>
      <c r="G113" s="147"/>
      <c r="H113" s="147"/>
      <c r="I113" s="147"/>
      <c r="J113" s="148"/>
    </row>
    <row r="114" spans="1:10" ht="12.75">
      <c r="A114" s="24"/>
      <c r="B114" s="102"/>
      <c r="C114" s="24"/>
      <c r="D114" s="24"/>
      <c r="E114" s="101"/>
      <c r="F114" s="24"/>
      <c r="G114" s="24"/>
      <c r="H114" s="24"/>
      <c r="I114" s="101"/>
      <c r="J114" s="101"/>
    </row>
    <row r="115" spans="1:10" ht="12.75">
      <c r="A115" s="24"/>
      <c r="B115" s="102"/>
      <c r="C115" s="24"/>
      <c r="D115" s="24"/>
      <c r="E115" s="101"/>
      <c r="F115" s="24"/>
      <c r="G115" s="24"/>
      <c r="H115" s="24"/>
      <c r="I115" s="101"/>
      <c r="J115" s="101"/>
    </row>
    <row r="116" ht="12">
      <c r="B116" s="102"/>
    </row>
  </sheetData>
  <sheetProtection sheet="1" objects="1" scenarios="1"/>
  <mergeCells count="35">
    <mergeCell ref="D72:J72"/>
    <mergeCell ref="D108:J108"/>
    <mergeCell ref="D112:J112"/>
    <mergeCell ref="D92:J92"/>
    <mergeCell ref="D96:J96"/>
    <mergeCell ref="D100:J100"/>
    <mergeCell ref="D104:J104"/>
    <mergeCell ref="D105:J105"/>
    <mergeCell ref="D109:J109"/>
    <mergeCell ref="G1:H1"/>
    <mergeCell ref="D61:J61"/>
    <mergeCell ref="D65:J65"/>
    <mergeCell ref="D69:J69"/>
    <mergeCell ref="D60:J60"/>
    <mergeCell ref="D64:J64"/>
    <mergeCell ref="D68:J68"/>
    <mergeCell ref="D101:J101"/>
    <mergeCell ref="D73:J73"/>
    <mergeCell ref="D77:J77"/>
    <mergeCell ref="D81:J81"/>
    <mergeCell ref="D85:J85"/>
    <mergeCell ref="D76:J76"/>
    <mergeCell ref="D80:J80"/>
    <mergeCell ref="D84:J84"/>
    <mergeCell ref="D88:J88"/>
    <mergeCell ref="D113:J113"/>
    <mergeCell ref="G20:H20"/>
    <mergeCell ref="G21:H21"/>
    <mergeCell ref="G22:H22"/>
    <mergeCell ref="I20:J20"/>
    <mergeCell ref="I21:J21"/>
    <mergeCell ref="I22:J22"/>
    <mergeCell ref="D89:J89"/>
    <mergeCell ref="D93:J93"/>
    <mergeCell ref="D97:J97"/>
  </mergeCells>
  <conditionalFormatting sqref="S25:S38">
    <cfRule type="expression" priority="1" dxfId="0" stopIfTrue="1">
      <formula>ISERROR(S25)</formula>
    </cfRule>
  </conditionalFormatting>
  <conditionalFormatting sqref="E25:F25">
    <cfRule type="expression" priority="2" dxfId="1" stopIfTrue="1">
      <formula>$B$60</formula>
    </cfRule>
  </conditionalFormatting>
  <conditionalFormatting sqref="E26:F26">
    <cfRule type="expression" priority="3" dxfId="1" stopIfTrue="1">
      <formula>$B$64</formula>
    </cfRule>
  </conditionalFormatting>
  <conditionalFormatting sqref="E27:F27">
    <cfRule type="expression" priority="4" dxfId="1" stopIfTrue="1">
      <formula>$B$68</formula>
    </cfRule>
  </conditionalFormatting>
  <conditionalFormatting sqref="E28:F28">
    <cfRule type="expression" priority="5" dxfId="1" stopIfTrue="1">
      <formula>$B$72</formula>
    </cfRule>
  </conditionalFormatting>
  <conditionalFormatting sqref="E29:F29">
    <cfRule type="expression" priority="6" dxfId="1" stopIfTrue="1">
      <formula>$B$76</formula>
    </cfRule>
  </conditionalFormatting>
  <conditionalFormatting sqref="E30:F30">
    <cfRule type="expression" priority="7" dxfId="1" stopIfTrue="1">
      <formula>$B$80</formula>
    </cfRule>
  </conditionalFormatting>
  <conditionalFormatting sqref="E31:F31">
    <cfRule type="expression" priority="8" dxfId="1" stopIfTrue="1">
      <formula>$B$84</formula>
    </cfRule>
  </conditionalFormatting>
  <conditionalFormatting sqref="E32:F32">
    <cfRule type="expression" priority="9" dxfId="1" stopIfTrue="1">
      <formula>$B$88</formula>
    </cfRule>
  </conditionalFormatting>
  <conditionalFormatting sqref="E33:F33">
    <cfRule type="expression" priority="10" dxfId="1" stopIfTrue="1">
      <formula>$B$92</formula>
    </cfRule>
  </conditionalFormatting>
  <conditionalFormatting sqref="E34:F34">
    <cfRule type="expression" priority="11" dxfId="1" stopIfTrue="1">
      <formula>$B$96</formula>
    </cfRule>
  </conditionalFormatting>
  <conditionalFormatting sqref="E35:F35">
    <cfRule type="expression" priority="12" dxfId="1" stopIfTrue="1">
      <formula>$B$100</formula>
    </cfRule>
  </conditionalFormatting>
  <conditionalFormatting sqref="E36:F36">
    <cfRule type="expression" priority="13" dxfId="1" stopIfTrue="1">
      <formula>$B$104</formula>
    </cfRule>
  </conditionalFormatting>
  <conditionalFormatting sqref="E37:F37">
    <cfRule type="expression" priority="14" dxfId="1" stopIfTrue="1">
      <formula>$B$108</formula>
    </cfRule>
  </conditionalFormatting>
  <conditionalFormatting sqref="E38:F38">
    <cfRule type="expression" priority="15" dxfId="1" stopIfTrue="1">
      <formula>$B$112</formula>
    </cfRule>
  </conditionalFormatting>
  <conditionalFormatting sqref="B10">
    <cfRule type="cellIs" priority="16" dxfId="2" operator="greaterThan" stopIfTrue="1">
      <formula>0</formula>
    </cfRule>
  </conditionalFormatting>
  <printOptions/>
  <pageMargins left="0.36" right="0.4" top="0.71" bottom="0.67" header="0.5" footer="0.5"/>
  <pageSetup horizontalDpi="600" verticalDpi="600" orientation="portrait" paperSize="9" r:id="rId2"/>
  <headerFooter alignWithMargins="0">
    <oddFooter>&amp;L&amp;F</oddFooter>
  </headerFooter>
  <rowBreaks count="1" manualBreakCount="1">
    <brk id="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D200"/>
  <sheetViews>
    <sheetView workbookViewId="0" topLeftCell="A1">
      <pane xSplit="3" topLeftCell="D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3" max="3" width="28.8515625" style="0" customWidth="1"/>
    <col min="4" max="12" width="12.7109375" style="1" customWidth="1"/>
    <col min="13" max="30" width="12.7109375" style="0" customWidth="1"/>
  </cols>
  <sheetData>
    <row r="2" spans="5:18" ht="12.75">
      <c r="E2" s="1" t="s">
        <v>911</v>
      </c>
      <c r="P2" t="s">
        <v>1217</v>
      </c>
      <c r="Q2" t="s">
        <v>1219</v>
      </c>
      <c r="R2" t="s">
        <v>1220</v>
      </c>
    </row>
    <row r="3" spans="2:25" ht="12.75">
      <c r="B3" t="s">
        <v>872</v>
      </c>
      <c r="D3" s="1" t="s">
        <v>910</v>
      </c>
      <c r="E3" s="1" t="s">
        <v>912</v>
      </c>
      <c r="F3" s="1" t="s">
        <v>913</v>
      </c>
      <c r="G3" s="1" t="s">
        <v>914</v>
      </c>
      <c r="H3" s="1" t="s">
        <v>915</v>
      </c>
      <c r="I3" s="1" t="s">
        <v>916</v>
      </c>
      <c r="J3" s="1" t="s">
        <v>917</v>
      </c>
      <c r="K3" s="1" t="s">
        <v>918</v>
      </c>
      <c r="L3" s="1" t="s">
        <v>919</v>
      </c>
      <c r="M3" s="1" t="s">
        <v>927</v>
      </c>
      <c r="N3" s="1" t="s">
        <v>1318</v>
      </c>
      <c r="O3" s="1" t="s">
        <v>929</v>
      </c>
      <c r="P3" s="1" t="s">
        <v>1218</v>
      </c>
      <c r="Q3" s="1" t="s">
        <v>1011</v>
      </c>
      <c r="R3" s="1" t="s">
        <v>1221</v>
      </c>
      <c r="T3" s="1" t="s">
        <v>96</v>
      </c>
      <c r="U3" s="1"/>
      <c r="V3" t="s">
        <v>1316</v>
      </c>
      <c r="X3" s="1" t="s">
        <v>694</v>
      </c>
      <c r="Y3" s="1" t="s">
        <v>695</v>
      </c>
    </row>
    <row r="4" spans="2:25" ht="12.75">
      <c r="B4">
        <v>1</v>
      </c>
      <c r="C4" t="s">
        <v>873</v>
      </c>
      <c r="D4" s="1">
        <v>2</v>
      </c>
      <c r="L4" s="1">
        <v>1</v>
      </c>
      <c r="O4" s="27">
        <v>0</v>
      </c>
      <c r="T4">
        <v>1</v>
      </c>
      <c r="V4" t="s">
        <v>873</v>
      </c>
      <c r="X4" s="1"/>
      <c r="Y4" s="1"/>
    </row>
    <row r="5" spans="2:25" ht="12.75">
      <c r="B5">
        <v>28</v>
      </c>
      <c r="C5" t="s">
        <v>875</v>
      </c>
      <c r="D5" s="1">
        <v>1</v>
      </c>
      <c r="O5" s="27">
        <v>1</v>
      </c>
      <c r="T5">
        <v>1</v>
      </c>
      <c r="V5" t="s">
        <v>143</v>
      </c>
      <c r="X5" s="1"/>
      <c r="Y5" s="1"/>
    </row>
    <row r="6" spans="2:25" ht="12.75">
      <c r="B6">
        <v>33</v>
      </c>
      <c r="C6" t="s">
        <v>874</v>
      </c>
      <c r="D6" s="1">
        <v>1</v>
      </c>
      <c r="H6" s="1">
        <v>1</v>
      </c>
      <c r="L6" s="1">
        <v>-1</v>
      </c>
      <c r="O6" s="27">
        <v>0</v>
      </c>
      <c r="P6">
        <v>1</v>
      </c>
      <c r="T6">
        <v>1</v>
      </c>
      <c r="V6" t="s">
        <v>190</v>
      </c>
      <c r="X6" s="1"/>
      <c r="Y6" s="1"/>
    </row>
    <row r="7" spans="2:25" ht="12.75">
      <c r="B7">
        <v>36</v>
      </c>
      <c r="C7" t="s">
        <v>876</v>
      </c>
      <c r="D7" s="1">
        <v>1</v>
      </c>
      <c r="H7" s="1">
        <v>1</v>
      </c>
      <c r="J7" s="1">
        <v>1</v>
      </c>
      <c r="O7" s="27">
        <v>0</v>
      </c>
      <c r="T7">
        <v>1</v>
      </c>
      <c r="V7" t="s">
        <v>144</v>
      </c>
      <c r="X7" s="1"/>
      <c r="Y7" s="1"/>
    </row>
    <row r="8" spans="2:25" ht="12.75">
      <c r="B8">
        <v>38</v>
      </c>
      <c r="C8" t="s">
        <v>885</v>
      </c>
      <c r="D8" s="1">
        <v>4</v>
      </c>
      <c r="N8">
        <v>-1</v>
      </c>
      <c r="O8" s="27">
        <v>1</v>
      </c>
      <c r="P8">
        <v>1</v>
      </c>
      <c r="T8">
        <v>2</v>
      </c>
      <c r="V8" t="s">
        <v>1317</v>
      </c>
      <c r="X8" s="1"/>
      <c r="Y8" s="1"/>
    </row>
    <row r="9" spans="2:25" ht="12.75">
      <c r="B9">
        <v>41</v>
      </c>
      <c r="C9" t="s">
        <v>886</v>
      </c>
      <c r="D9" s="1">
        <v>5</v>
      </c>
      <c r="O9" s="27">
        <v>1</v>
      </c>
      <c r="T9">
        <v>1</v>
      </c>
      <c r="V9" t="s">
        <v>1319</v>
      </c>
      <c r="X9" s="1" t="s">
        <v>1334</v>
      </c>
      <c r="Y9" s="1"/>
    </row>
    <row r="10" spans="2:25" ht="12.75">
      <c r="B10">
        <v>49</v>
      </c>
      <c r="C10" t="s">
        <v>887</v>
      </c>
      <c r="D10" s="1">
        <v>2</v>
      </c>
      <c r="E10" s="1">
        <v>1</v>
      </c>
      <c r="G10" s="1">
        <v>1</v>
      </c>
      <c r="H10" s="1">
        <v>1</v>
      </c>
      <c r="O10" s="27">
        <v>0</v>
      </c>
      <c r="T10">
        <v>1</v>
      </c>
      <c r="V10" t="s">
        <v>693</v>
      </c>
      <c r="X10" s="1" t="s">
        <v>1334</v>
      </c>
      <c r="Y10" s="1" t="s">
        <v>698</v>
      </c>
    </row>
    <row r="11" spans="2:25" ht="12.75">
      <c r="B11">
        <v>50</v>
      </c>
      <c r="C11" t="s">
        <v>888</v>
      </c>
      <c r="D11" s="1">
        <v>1</v>
      </c>
      <c r="O11" s="27">
        <v>0</v>
      </c>
      <c r="P11">
        <v>-1</v>
      </c>
      <c r="T11">
        <v>1</v>
      </c>
      <c r="V11" t="s">
        <v>145</v>
      </c>
      <c r="X11" s="1"/>
      <c r="Y11" s="1"/>
    </row>
    <row r="12" spans="2:25" ht="12.75">
      <c r="B12">
        <v>52</v>
      </c>
      <c r="C12" t="s">
        <v>889</v>
      </c>
      <c r="D12" s="1">
        <v>1</v>
      </c>
      <c r="G12" s="1">
        <v>1</v>
      </c>
      <c r="H12" s="1">
        <v>1</v>
      </c>
      <c r="O12" s="27">
        <v>0</v>
      </c>
      <c r="P12">
        <v>-1</v>
      </c>
      <c r="T12">
        <v>1</v>
      </c>
      <c r="V12" t="s">
        <v>696</v>
      </c>
      <c r="X12" s="1"/>
      <c r="Y12" s="1"/>
    </row>
    <row r="13" spans="2:25" ht="12.75">
      <c r="B13">
        <v>54</v>
      </c>
      <c r="C13" t="s">
        <v>890</v>
      </c>
      <c r="D13" s="1">
        <v>1</v>
      </c>
      <c r="O13" s="27">
        <v>0</v>
      </c>
      <c r="P13">
        <v>-1</v>
      </c>
      <c r="T13">
        <v>1.2</v>
      </c>
      <c r="V13" t="s">
        <v>1322</v>
      </c>
      <c r="X13" s="1"/>
      <c r="Y13" s="1"/>
    </row>
    <row r="14" spans="2:25" ht="12.75">
      <c r="B14">
        <v>56</v>
      </c>
      <c r="C14" t="s">
        <v>891</v>
      </c>
      <c r="D14" s="1">
        <v>2</v>
      </c>
      <c r="E14" s="1">
        <v>1</v>
      </c>
      <c r="O14" s="27">
        <v>0</v>
      </c>
      <c r="P14">
        <v>-1</v>
      </c>
      <c r="T14">
        <v>1.2</v>
      </c>
      <c r="V14" t="s">
        <v>697</v>
      </c>
      <c r="X14" s="1"/>
      <c r="Y14" s="1"/>
    </row>
    <row r="15" spans="2:25" ht="12.75">
      <c r="B15">
        <v>60</v>
      </c>
      <c r="C15" t="s">
        <v>573</v>
      </c>
      <c r="D15" s="1">
        <v>5</v>
      </c>
      <c r="G15" s="1">
        <v>1</v>
      </c>
      <c r="O15" s="27">
        <v>0</v>
      </c>
      <c r="T15">
        <v>1.6</v>
      </c>
      <c r="V15" t="s">
        <v>883</v>
      </c>
      <c r="X15" s="1"/>
      <c r="Y15" s="1"/>
    </row>
    <row r="16" spans="2:25" ht="12.75">
      <c r="B16">
        <v>61</v>
      </c>
      <c r="C16" t="s">
        <v>572</v>
      </c>
      <c r="D16" s="1">
        <v>3</v>
      </c>
      <c r="O16" s="27">
        <v>0</v>
      </c>
      <c r="T16">
        <v>1.1</v>
      </c>
      <c r="V16" t="s">
        <v>146</v>
      </c>
      <c r="X16" s="1"/>
      <c r="Y16" s="1"/>
    </row>
    <row r="17" spans="2:25" ht="12.75">
      <c r="B17">
        <v>62</v>
      </c>
      <c r="C17" t="s">
        <v>571</v>
      </c>
      <c r="D17" s="1">
        <v>2</v>
      </c>
      <c r="O17" s="27">
        <v>0</v>
      </c>
      <c r="Q17">
        <v>93</v>
      </c>
      <c r="R17" t="s">
        <v>1333</v>
      </c>
      <c r="S17" t="s">
        <v>64</v>
      </c>
      <c r="T17">
        <v>1</v>
      </c>
      <c r="V17" t="s">
        <v>147</v>
      </c>
      <c r="X17" s="1"/>
      <c r="Y17" s="1" t="s">
        <v>698</v>
      </c>
    </row>
    <row r="18" spans="2:25" ht="12.75">
      <c r="B18">
        <v>63</v>
      </c>
      <c r="C18" t="s">
        <v>574</v>
      </c>
      <c r="D18" s="1">
        <v>1</v>
      </c>
      <c r="O18" s="27">
        <v>0</v>
      </c>
      <c r="R18" t="s">
        <v>1337</v>
      </c>
      <c r="S18" t="s">
        <v>1222</v>
      </c>
      <c r="T18">
        <v>0.9</v>
      </c>
      <c r="V18" t="s">
        <v>148</v>
      </c>
      <c r="X18" s="1"/>
      <c r="Y18" s="1"/>
    </row>
    <row r="19" spans="2:25" ht="12.75">
      <c r="B19">
        <v>65</v>
      </c>
      <c r="C19" t="s">
        <v>575</v>
      </c>
      <c r="D19" s="1">
        <v>4</v>
      </c>
      <c r="N19">
        <v>-1</v>
      </c>
      <c r="O19" s="27">
        <v>0</v>
      </c>
      <c r="Q19">
        <v>24</v>
      </c>
      <c r="R19" t="s">
        <v>1337</v>
      </c>
      <c r="S19" t="s">
        <v>149</v>
      </c>
      <c r="T19">
        <v>0.9</v>
      </c>
      <c r="V19" t="s">
        <v>151</v>
      </c>
      <c r="X19" s="1"/>
      <c r="Y19" s="1"/>
    </row>
    <row r="20" spans="2:25" ht="12.75">
      <c r="B20">
        <v>67</v>
      </c>
      <c r="C20" t="s">
        <v>577</v>
      </c>
      <c r="D20" s="1">
        <v>3</v>
      </c>
      <c r="N20">
        <v>1</v>
      </c>
      <c r="O20" s="27">
        <v>0</v>
      </c>
      <c r="Q20">
        <v>261</v>
      </c>
      <c r="R20" t="s">
        <v>1337</v>
      </c>
      <c r="S20" t="s">
        <v>150</v>
      </c>
      <c r="T20">
        <v>0.7</v>
      </c>
      <c r="V20" t="s">
        <v>773</v>
      </c>
      <c r="X20" s="1"/>
      <c r="Y20" s="1"/>
    </row>
    <row r="21" spans="2:25" ht="12.75">
      <c r="B21">
        <v>69</v>
      </c>
      <c r="C21" t="s">
        <v>576</v>
      </c>
      <c r="D21" s="1">
        <v>2</v>
      </c>
      <c r="O21" s="27">
        <v>0</v>
      </c>
      <c r="Q21">
        <v>33</v>
      </c>
      <c r="R21" t="s">
        <v>1336</v>
      </c>
      <c r="S21" t="s">
        <v>1223</v>
      </c>
      <c r="T21">
        <v>0.7</v>
      </c>
      <c r="V21" t="s">
        <v>1324</v>
      </c>
      <c r="X21" s="1"/>
      <c r="Y21" s="1" t="s">
        <v>1334</v>
      </c>
    </row>
    <row r="22" spans="2:25" ht="12.75">
      <c r="B22">
        <v>70</v>
      </c>
      <c r="C22" t="s">
        <v>578</v>
      </c>
      <c r="D22" s="1">
        <v>3</v>
      </c>
      <c r="O22" s="27">
        <v>0</v>
      </c>
      <c r="R22" t="s">
        <v>1337</v>
      </c>
      <c r="S22" t="s">
        <v>580</v>
      </c>
      <c r="T22">
        <v>1</v>
      </c>
      <c r="V22" t="s">
        <v>152</v>
      </c>
      <c r="X22" s="1"/>
      <c r="Y22" s="1" t="s">
        <v>698</v>
      </c>
    </row>
    <row r="23" spans="2:25" ht="12.75">
      <c r="B23">
        <v>71</v>
      </c>
      <c r="C23" t="s">
        <v>579</v>
      </c>
      <c r="D23" s="1">
        <v>2</v>
      </c>
      <c r="N23">
        <v>1</v>
      </c>
      <c r="O23" s="27">
        <v>0</v>
      </c>
      <c r="Q23">
        <v>194</v>
      </c>
      <c r="S23" t="s">
        <v>1224</v>
      </c>
      <c r="T23">
        <v>1</v>
      </c>
      <c r="V23" t="s">
        <v>153</v>
      </c>
      <c r="X23" s="1"/>
      <c r="Y23" s="1"/>
    </row>
    <row r="24" spans="2:25" ht="12.75">
      <c r="B24">
        <v>73</v>
      </c>
      <c r="C24" t="s">
        <v>892</v>
      </c>
      <c r="D24" s="1">
        <v>4</v>
      </c>
      <c r="J24" s="1">
        <v>-1</v>
      </c>
      <c r="O24" s="27">
        <v>0</v>
      </c>
      <c r="T24">
        <v>1.2</v>
      </c>
      <c r="V24" t="s">
        <v>191</v>
      </c>
      <c r="X24" s="1"/>
      <c r="Y24" s="1"/>
    </row>
    <row r="25" spans="2:25" ht="12.75">
      <c r="B25">
        <v>75</v>
      </c>
      <c r="C25" t="s">
        <v>893</v>
      </c>
      <c r="D25" s="1">
        <v>4</v>
      </c>
      <c r="O25" s="27">
        <v>0</v>
      </c>
      <c r="T25">
        <v>1.6</v>
      </c>
      <c r="V25" t="s">
        <v>192</v>
      </c>
      <c r="X25" s="1"/>
      <c r="Y25" s="1"/>
    </row>
    <row r="26" spans="2:25" ht="12.75">
      <c r="B26">
        <v>77</v>
      </c>
      <c r="C26" t="s">
        <v>894</v>
      </c>
      <c r="D26" s="1">
        <v>4</v>
      </c>
      <c r="J26" s="1">
        <v>-1</v>
      </c>
      <c r="K26" s="1">
        <v>-1</v>
      </c>
      <c r="O26" s="27">
        <v>0</v>
      </c>
      <c r="T26">
        <v>2.5</v>
      </c>
      <c r="V26" t="s">
        <v>193</v>
      </c>
      <c r="X26" s="1"/>
      <c r="Y26" s="1"/>
    </row>
    <row r="27" spans="2:25" ht="12.75">
      <c r="B27">
        <v>79</v>
      </c>
      <c r="C27" t="s">
        <v>228</v>
      </c>
      <c r="D27" s="1">
        <v>3</v>
      </c>
      <c r="O27" s="27">
        <v>0</v>
      </c>
      <c r="P27">
        <v>-1</v>
      </c>
      <c r="T27">
        <v>1.3</v>
      </c>
      <c r="V27" t="s">
        <v>194</v>
      </c>
      <c r="X27" s="1"/>
      <c r="Y27" s="1"/>
    </row>
    <row r="28" spans="2:25" ht="12.75">
      <c r="B28">
        <v>81</v>
      </c>
      <c r="C28" t="s">
        <v>895</v>
      </c>
      <c r="D28" s="1">
        <v>4</v>
      </c>
      <c r="O28" s="27">
        <v>0</v>
      </c>
      <c r="T28">
        <v>7</v>
      </c>
      <c r="V28" t="s">
        <v>1323</v>
      </c>
      <c r="X28" s="1"/>
      <c r="Y28" s="1" t="s">
        <v>698</v>
      </c>
    </row>
    <row r="29" spans="2:25" ht="12.75">
      <c r="B29">
        <v>85</v>
      </c>
      <c r="C29" t="s">
        <v>896</v>
      </c>
      <c r="D29" s="1">
        <v>4</v>
      </c>
      <c r="O29" s="27">
        <v>0</v>
      </c>
      <c r="T29">
        <v>5</v>
      </c>
      <c r="V29" t="s">
        <v>397</v>
      </c>
      <c r="X29" s="1"/>
      <c r="Y29" s="1"/>
    </row>
    <row r="30" spans="2:25" ht="12.75">
      <c r="B30">
        <v>87</v>
      </c>
      <c r="C30" t="s">
        <v>897</v>
      </c>
      <c r="D30" s="1">
        <v>4</v>
      </c>
      <c r="O30" s="27">
        <v>0</v>
      </c>
      <c r="T30">
        <v>4</v>
      </c>
      <c r="V30" t="s">
        <v>195</v>
      </c>
      <c r="X30" s="1"/>
      <c r="Y30" s="1"/>
    </row>
    <row r="31" spans="2:25" ht="12.75">
      <c r="B31">
        <v>89</v>
      </c>
      <c r="C31" t="s">
        <v>898</v>
      </c>
      <c r="D31" s="1">
        <v>4</v>
      </c>
      <c r="E31" s="1">
        <v>-1</v>
      </c>
      <c r="I31" s="1">
        <v>2</v>
      </c>
      <c r="L31" s="1">
        <v>1</v>
      </c>
      <c r="O31" s="27">
        <v>0</v>
      </c>
      <c r="T31">
        <v>4</v>
      </c>
      <c r="V31" t="s">
        <v>196</v>
      </c>
      <c r="X31" s="1"/>
      <c r="Y31" s="1"/>
    </row>
    <row r="32" spans="2:25" ht="12.75">
      <c r="B32">
        <v>90</v>
      </c>
      <c r="C32" t="s">
        <v>899</v>
      </c>
      <c r="D32" s="1">
        <v>5</v>
      </c>
      <c r="E32" s="1">
        <v>1</v>
      </c>
      <c r="F32" s="1">
        <v>1</v>
      </c>
      <c r="G32" s="1">
        <v>1</v>
      </c>
      <c r="H32" s="1">
        <v>1</v>
      </c>
      <c r="O32" s="27">
        <v>0</v>
      </c>
      <c r="R32" t="s">
        <v>775</v>
      </c>
      <c r="S32" t="s">
        <v>774</v>
      </c>
      <c r="T32">
        <v>2</v>
      </c>
      <c r="V32" t="s">
        <v>197</v>
      </c>
      <c r="X32" s="1"/>
      <c r="Y32" s="1"/>
    </row>
    <row r="33" spans="2:25" ht="12.75">
      <c r="B33">
        <v>91</v>
      </c>
      <c r="C33" t="s">
        <v>900</v>
      </c>
      <c r="D33" s="1">
        <v>5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N33" s="1">
        <v>2</v>
      </c>
      <c r="O33" s="27">
        <v>0</v>
      </c>
      <c r="P33">
        <v>2</v>
      </c>
      <c r="T33">
        <v>2</v>
      </c>
      <c r="V33" t="s">
        <v>198</v>
      </c>
      <c r="X33" s="1"/>
      <c r="Y33" s="1"/>
    </row>
    <row r="34" spans="2:25" ht="12.75">
      <c r="B34">
        <v>92</v>
      </c>
      <c r="C34" t="s">
        <v>901</v>
      </c>
      <c r="D34" s="1">
        <v>1</v>
      </c>
      <c r="O34" s="27">
        <v>0</v>
      </c>
      <c r="P34">
        <v>-1</v>
      </c>
      <c r="R34" t="s">
        <v>1336</v>
      </c>
      <c r="S34" t="s">
        <v>801</v>
      </c>
      <c r="T34">
        <v>1</v>
      </c>
      <c r="V34" t="s">
        <v>199</v>
      </c>
      <c r="X34" s="1" t="s">
        <v>698</v>
      </c>
      <c r="Y34" s="1"/>
    </row>
    <row r="35" spans="2:25" ht="12.75">
      <c r="B35">
        <v>93</v>
      </c>
      <c r="C35" t="s">
        <v>902</v>
      </c>
      <c r="D35" s="1">
        <v>1</v>
      </c>
      <c r="E35" s="1">
        <v>-2</v>
      </c>
      <c r="H35" s="1">
        <v>2</v>
      </c>
      <c r="O35" s="27">
        <v>0</v>
      </c>
      <c r="Q35">
        <v>40</v>
      </c>
      <c r="R35" t="s">
        <v>1336</v>
      </c>
      <c r="S35" t="s">
        <v>200</v>
      </c>
      <c r="T35">
        <v>1</v>
      </c>
      <c r="V35" t="s">
        <v>1325</v>
      </c>
      <c r="X35" s="1" t="s">
        <v>698</v>
      </c>
      <c r="Y35" s="1"/>
    </row>
    <row r="36" spans="2:25" ht="12.75">
      <c r="B36">
        <v>94</v>
      </c>
      <c r="C36" t="s">
        <v>903</v>
      </c>
      <c r="D36" s="1">
        <v>2</v>
      </c>
      <c r="H36" s="1">
        <v>1</v>
      </c>
      <c r="O36" s="27">
        <v>0</v>
      </c>
      <c r="T36">
        <v>1</v>
      </c>
      <c r="V36" t="s">
        <v>201</v>
      </c>
      <c r="X36" s="1"/>
      <c r="Y36" s="1"/>
    </row>
    <row r="37" spans="2:25" ht="12.75">
      <c r="B37">
        <v>95</v>
      </c>
      <c r="C37" t="s">
        <v>904</v>
      </c>
      <c r="D37" s="1">
        <v>2</v>
      </c>
      <c r="M37">
        <v>1</v>
      </c>
      <c r="O37" s="27">
        <v>0</v>
      </c>
      <c r="T37">
        <v>4</v>
      </c>
      <c r="V37" t="s">
        <v>202</v>
      </c>
      <c r="X37" s="1"/>
      <c r="Y37" s="1"/>
    </row>
    <row r="38" spans="2:25" ht="12.75">
      <c r="B38">
        <v>96</v>
      </c>
      <c r="C38" t="s">
        <v>905</v>
      </c>
      <c r="D38" s="1">
        <v>5</v>
      </c>
      <c r="O38" s="27">
        <v>0</v>
      </c>
      <c r="Q38">
        <v>230</v>
      </c>
      <c r="R38" t="s">
        <v>1334</v>
      </c>
      <c r="S38" t="s">
        <v>1179</v>
      </c>
      <c r="T38">
        <v>0.1</v>
      </c>
      <c r="V38" t="s">
        <v>1325</v>
      </c>
      <c r="X38" s="1" t="s">
        <v>698</v>
      </c>
      <c r="Y38" s="1"/>
    </row>
    <row r="39" spans="2:25" ht="12.75">
      <c r="B39">
        <v>97</v>
      </c>
      <c r="C39" t="s">
        <v>906</v>
      </c>
      <c r="D39" s="1">
        <v>5</v>
      </c>
      <c r="O39" s="27">
        <v>0</v>
      </c>
      <c r="Q39">
        <v>230</v>
      </c>
      <c r="R39" t="s">
        <v>1334</v>
      </c>
      <c r="S39" t="s">
        <v>1179</v>
      </c>
      <c r="T39">
        <v>1</v>
      </c>
      <c r="V39" t="s">
        <v>1325</v>
      </c>
      <c r="X39" s="1" t="s">
        <v>698</v>
      </c>
      <c r="Y39" s="1"/>
    </row>
    <row r="40" spans="2:25" ht="12.75">
      <c r="B40">
        <v>98</v>
      </c>
      <c r="C40" t="s">
        <v>907</v>
      </c>
      <c r="D40" s="1">
        <v>5</v>
      </c>
      <c r="O40" s="27">
        <v>0</v>
      </c>
      <c r="Q40">
        <v>61</v>
      </c>
      <c r="R40" t="e">
        <f>'Character sheet'!AA44</f>
        <v>#N/A</v>
      </c>
      <c r="S40" t="s">
        <v>203</v>
      </c>
      <c r="T40">
        <v>0.01</v>
      </c>
      <c r="V40" t="s">
        <v>1326</v>
      </c>
      <c r="X40" s="1"/>
      <c r="Y40" s="1"/>
    </row>
    <row r="41" spans="2:25" ht="12.75">
      <c r="B41">
        <v>99</v>
      </c>
      <c r="C41" t="s">
        <v>908</v>
      </c>
      <c r="D41" s="1">
        <v>1</v>
      </c>
      <c r="O41" s="27">
        <v>0</v>
      </c>
      <c r="T41">
        <v>0</v>
      </c>
      <c r="V41" t="s">
        <v>1327</v>
      </c>
      <c r="X41" s="1"/>
      <c r="Y41" s="1"/>
    </row>
    <row r="42" spans="2:25" ht="12.75">
      <c r="B42">
        <v>100</v>
      </c>
      <c r="C42" t="s">
        <v>909</v>
      </c>
      <c r="D42" s="1">
        <v>1</v>
      </c>
      <c r="E42" s="1">
        <v>1</v>
      </c>
      <c r="H42" s="1">
        <v>1</v>
      </c>
      <c r="O42" s="27">
        <v>0</v>
      </c>
      <c r="T42">
        <v>1</v>
      </c>
      <c r="V42" t="s">
        <v>204</v>
      </c>
      <c r="X42" s="1"/>
      <c r="Y42" s="1"/>
    </row>
    <row r="46" spans="4:18" ht="12.75">
      <c r="D46" s="1">
        <f>IF(ISBLANK('Character sheet'!M2),"",'Character sheet'!M3)</f>
      </c>
      <c r="F46" s="1" t="s">
        <v>920</v>
      </c>
      <c r="G46" s="1" t="s">
        <v>922</v>
      </c>
      <c r="H46" s="1">
        <v>1</v>
      </c>
      <c r="I46" s="1">
        <v>2</v>
      </c>
      <c r="J46" s="1">
        <v>3</v>
      </c>
      <c r="K46" s="1">
        <v>4</v>
      </c>
      <c r="L46" s="1">
        <v>5</v>
      </c>
      <c r="M46" s="1" t="s">
        <v>518</v>
      </c>
      <c r="O46" t="s">
        <v>928</v>
      </c>
      <c r="P46" t="s">
        <v>555</v>
      </c>
      <c r="R46" t="s">
        <v>584</v>
      </c>
    </row>
    <row r="47" spans="4:19" ht="12.75">
      <c r="D47" s="1" t="e">
        <f aca="true" t="shared" si="0" ref="D47:D57">IF(ISBLANK($D$46),"",HLOOKUP($D$46,$H$46:$L$57,1+E47))</f>
        <v>#N/A</v>
      </c>
      <c r="E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0.8</v>
      </c>
      <c r="N47" s="27" t="s">
        <v>134</v>
      </c>
      <c r="O47" t="e">
        <f>VLOOKUP('Character sheet'!$M11,HPs!$D$47:$E$57,2)</f>
        <v>#N/A</v>
      </c>
      <c r="P47" t="e">
        <f>MAX(1,(VLOOKUP('Character sheet'!$M$2,HPs!$B$4:$M$42,4)+$O47+'Character sheet'!$B11))</f>
        <v>#N/A</v>
      </c>
      <c r="R47">
        <v>1</v>
      </c>
      <c r="S47">
        <v>-1</v>
      </c>
    </row>
    <row r="48" spans="4:19" ht="12.75">
      <c r="D48" s="1" t="e">
        <f t="shared" si="0"/>
        <v>#N/A</v>
      </c>
      <c r="E48" s="1">
        <v>2</v>
      </c>
      <c r="G48" s="1">
        <v>3</v>
      </c>
      <c r="H48" s="1">
        <v>6</v>
      </c>
      <c r="I48" s="1">
        <v>6</v>
      </c>
      <c r="J48" s="1">
        <v>6</v>
      </c>
      <c r="K48" s="1">
        <v>6</v>
      </c>
      <c r="L48" s="1">
        <v>11</v>
      </c>
      <c r="M48" s="1">
        <v>0.9</v>
      </c>
      <c r="N48" s="27" t="s">
        <v>135</v>
      </c>
      <c r="O48" t="e">
        <f>VLOOKUP('Character sheet'!$M12,HPs!$D$47:$E$57,2)</f>
        <v>#N/A</v>
      </c>
      <c r="P48" t="e">
        <f>MAX(1,(VLOOKUP('Character sheet'!$M$2,HPs!$B$4:$M$42,5)+$O48+'Character sheet'!$B12))</f>
        <v>#N/A</v>
      </c>
      <c r="Q48" s="48"/>
      <c r="R48" s="48">
        <v>16</v>
      </c>
      <c r="S48">
        <v>0</v>
      </c>
    </row>
    <row r="49" spans="4:19" ht="12.75">
      <c r="D49" s="1" t="e">
        <f t="shared" si="0"/>
        <v>#N/A</v>
      </c>
      <c r="E49" s="1">
        <v>3</v>
      </c>
      <c r="G49" s="1">
        <v>5</v>
      </c>
      <c r="H49" s="1">
        <v>11</v>
      </c>
      <c r="I49" s="1">
        <v>26</v>
      </c>
      <c r="J49" s="1">
        <v>11</v>
      </c>
      <c r="K49" s="1">
        <v>11</v>
      </c>
      <c r="L49" s="1">
        <v>21</v>
      </c>
      <c r="M49" s="1">
        <v>1</v>
      </c>
      <c r="N49" s="27" t="s">
        <v>136</v>
      </c>
      <c r="O49" t="e">
        <f>VLOOKUP('Character sheet'!$M13,HPs!$D$47:$E$57,2)</f>
        <v>#N/A</v>
      </c>
      <c r="P49" t="e">
        <f>MAX(1,(VLOOKUP('Character sheet'!$M$2,HPs!$B$4:$M$42,6)+$O49+'Character sheet'!$B13))</f>
        <v>#N/A</v>
      </c>
      <c r="Q49" s="48"/>
      <c r="R49" s="48">
        <v>51</v>
      </c>
      <c r="S49">
        <v>1</v>
      </c>
    </row>
    <row r="50" spans="4:19" ht="12.75">
      <c r="D50" s="1" t="e">
        <f t="shared" si="0"/>
        <v>#N/A</v>
      </c>
      <c r="E50" s="1">
        <v>4</v>
      </c>
      <c r="G50" s="1">
        <v>8</v>
      </c>
      <c r="H50" s="1">
        <v>21</v>
      </c>
      <c r="I50" s="1">
        <v>78</v>
      </c>
      <c r="J50" s="1">
        <v>41</v>
      </c>
      <c r="K50" s="1">
        <v>16</v>
      </c>
      <c r="L50" s="1">
        <v>31</v>
      </c>
      <c r="M50" s="1">
        <v>1.1</v>
      </c>
      <c r="N50" s="27" t="s">
        <v>137</v>
      </c>
      <c r="O50" t="e">
        <f>VLOOKUP('Character sheet'!$M14,HPs!$D$47:$E$57,2)</f>
        <v>#N/A</v>
      </c>
      <c r="P50" t="e">
        <f>MAX(1,(VLOOKUP('Character sheet'!$M$2,HPs!$B$4:$M$42,7)+$O50+'Character sheet'!$B14))</f>
        <v>#N/A</v>
      </c>
      <c r="Q50" s="48"/>
      <c r="R50" s="48">
        <v>71</v>
      </c>
      <c r="S50">
        <v>2</v>
      </c>
    </row>
    <row r="51" spans="4:19" ht="12.75">
      <c r="D51" s="1" t="e">
        <f t="shared" si="0"/>
        <v>#N/A</v>
      </c>
      <c r="E51" s="1">
        <v>5</v>
      </c>
      <c r="G51" s="1">
        <v>16</v>
      </c>
      <c r="H51" s="1">
        <v>41</v>
      </c>
      <c r="I51" s="1">
        <v>96</v>
      </c>
      <c r="J51" s="1">
        <v>81</v>
      </c>
      <c r="K51" s="1">
        <v>41</v>
      </c>
      <c r="L51" s="1">
        <v>41</v>
      </c>
      <c r="M51" s="1">
        <v>1.25</v>
      </c>
      <c r="N51" s="27" t="s">
        <v>138</v>
      </c>
      <c r="O51" t="e">
        <f>VLOOKUP('Character sheet'!$M15,HPs!$D$47:$E$57,2)</f>
        <v>#N/A</v>
      </c>
      <c r="P51" t="e">
        <f>MAX(1,(VLOOKUP('Character sheet'!$M$2,HPs!$B$4:$M$42,8)+$O51+'Character sheet'!$B15))</f>
        <v>#N/A</v>
      </c>
      <c r="Q51" s="48"/>
      <c r="R51" s="48">
        <v>86</v>
      </c>
      <c r="S51">
        <v>3</v>
      </c>
    </row>
    <row r="52" spans="4:19" ht="12.75">
      <c r="D52" s="1" t="e">
        <f t="shared" si="0"/>
        <v>#N/A</v>
      </c>
      <c r="E52" s="1">
        <v>6</v>
      </c>
      <c r="G52" s="1">
        <v>26</v>
      </c>
      <c r="H52" s="1">
        <v>61</v>
      </c>
      <c r="I52" s="1" t="s">
        <v>921</v>
      </c>
      <c r="J52" s="1">
        <v>96</v>
      </c>
      <c r="K52" s="1">
        <v>51</v>
      </c>
      <c r="L52" s="1">
        <v>61</v>
      </c>
      <c r="M52" s="1">
        <v>1.37</v>
      </c>
      <c r="N52" s="27" t="s">
        <v>139</v>
      </c>
      <c r="O52" t="e">
        <f>VLOOKUP('Character sheet'!$M16,HPs!$D$47:$E$57,2)</f>
        <v>#N/A</v>
      </c>
      <c r="P52" t="e">
        <f>MAX(1,(VLOOKUP('Character sheet'!$M$2,HPs!$B$4:$M$42,9)+$O52+'Character sheet'!$B16))</f>
        <v>#N/A</v>
      </c>
      <c r="Q52" s="48"/>
      <c r="R52" s="48">
        <v>96</v>
      </c>
      <c r="S52">
        <v>4</v>
      </c>
    </row>
    <row r="53" spans="4:17" ht="12.75">
      <c r="D53" s="1" t="e">
        <f t="shared" si="0"/>
        <v>#N/A</v>
      </c>
      <c r="E53" s="1">
        <v>7</v>
      </c>
      <c r="G53" s="1">
        <v>36</v>
      </c>
      <c r="H53" s="1">
        <v>81</v>
      </c>
      <c r="I53" s="1" t="s">
        <v>921</v>
      </c>
      <c r="J53" s="1" t="s">
        <v>921</v>
      </c>
      <c r="K53" s="1">
        <v>71</v>
      </c>
      <c r="L53" s="1">
        <v>71</v>
      </c>
      <c r="M53" s="1">
        <v>1.5</v>
      </c>
      <c r="N53" s="27" t="s">
        <v>140</v>
      </c>
      <c r="O53" t="e">
        <f>VLOOKUP('Character sheet'!$M17,HPs!$D$47:$E$57,2)</f>
        <v>#N/A</v>
      </c>
      <c r="P53" t="e">
        <f>MAX(1,(VLOOKUP('Character sheet'!$M$2,HPs!$B$4:$M$42,10)+$O53+'Character sheet'!$B17))</f>
        <v>#N/A</v>
      </c>
      <c r="Q53" s="48"/>
    </row>
    <row r="54" spans="4:17" ht="12.75">
      <c r="D54" s="1" t="e">
        <f t="shared" si="0"/>
        <v>#N/A</v>
      </c>
      <c r="E54" s="1">
        <v>8</v>
      </c>
      <c r="G54" s="1">
        <v>46</v>
      </c>
      <c r="H54" s="1">
        <v>97</v>
      </c>
      <c r="I54" s="1" t="s">
        <v>921</v>
      </c>
      <c r="J54" s="1" t="s">
        <v>921</v>
      </c>
      <c r="K54" s="1">
        <v>91</v>
      </c>
      <c r="L54" s="1">
        <v>81</v>
      </c>
      <c r="M54" s="1">
        <v>1.75</v>
      </c>
      <c r="N54" s="27" t="s">
        <v>141</v>
      </c>
      <c r="O54" t="e">
        <f>VLOOKUP('Character sheet'!$P14,HPs!$D$47:$E$57,2)</f>
        <v>#N/A</v>
      </c>
      <c r="P54" s="48" t="e">
        <f>IF(ISBLANK(VLOOKUP('Character sheet'!$M$2,HPs!$B$4:$Y$42,23)),HPs!Q54,VLOOKUP(VLOOKUP('Character sheet'!$M$2,HPs!$B$4:$Y$42,23),$N$64:$Q$80,4,FALSE))</f>
        <v>#N/A</v>
      </c>
      <c r="Q54" t="e">
        <f>MAX(1,(VLOOKUP('Character sheet'!$M$2,HPs!$B$4:$M$42,11)+$O54))</f>
        <v>#N/A</v>
      </c>
    </row>
    <row r="55" spans="4:17" ht="12.75">
      <c r="D55" s="1" t="e">
        <f t="shared" si="0"/>
        <v>#N/A</v>
      </c>
      <c r="E55" s="1">
        <v>9</v>
      </c>
      <c r="G55" s="1">
        <v>63</v>
      </c>
      <c r="H55" s="1" t="s">
        <v>921</v>
      </c>
      <c r="I55" s="1" t="s">
        <v>921</v>
      </c>
      <c r="J55" s="1" t="s">
        <v>921</v>
      </c>
      <c r="K55" s="1">
        <v>99</v>
      </c>
      <c r="L55" s="1">
        <v>96</v>
      </c>
      <c r="M55" s="1">
        <v>2</v>
      </c>
      <c r="N55" s="27" t="s">
        <v>133</v>
      </c>
      <c r="O55" t="e">
        <f>VLOOKUP('Character sheet'!$P15,HPs!$D$47:$E$57,2)</f>
        <v>#N/A</v>
      </c>
      <c r="P55" s="48" t="e">
        <f>IF(ISBLANK(VLOOKUP('Character sheet'!$M$2,HPs!$B$4:$Y$42,24)),HPs!Q55,VLOOKUP(VLOOKUP('Character sheet'!$M$2,HPs!$B$4:$Y$42,24),$N$64:$Q$80,4,FALSE))</f>
        <v>#N/A</v>
      </c>
      <c r="Q55" t="e">
        <f>MAX(1,(VLOOKUP('Character sheet'!$M$2,HPs!$B$4:$N$42,13)+$O55))</f>
        <v>#N/A</v>
      </c>
    </row>
    <row r="56" spans="4:13" ht="12.75">
      <c r="D56" s="1" t="e">
        <f t="shared" si="0"/>
        <v>#N/A</v>
      </c>
      <c r="E56" s="1">
        <v>10</v>
      </c>
      <c r="G56" s="1">
        <v>88</v>
      </c>
      <c r="H56" s="1" t="s">
        <v>921</v>
      </c>
      <c r="I56" s="1" t="s">
        <v>921</v>
      </c>
      <c r="J56" s="1" t="s">
        <v>921</v>
      </c>
      <c r="K56" s="1" t="s">
        <v>921</v>
      </c>
      <c r="L56" s="1" t="s">
        <v>921</v>
      </c>
      <c r="M56" s="1">
        <v>3</v>
      </c>
    </row>
    <row r="57" spans="4:13" ht="12.75">
      <c r="D57" s="1" t="e">
        <f t="shared" si="0"/>
        <v>#N/A</v>
      </c>
      <c r="E57" s="1">
        <v>11</v>
      </c>
      <c r="G57" s="1">
        <v>126</v>
      </c>
      <c r="H57" s="1" t="s">
        <v>921</v>
      </c>
      <c r="I57" s="1" t="s">
        <v>921</v>
      </c>
      <c r="J57" s="1" t="s">
        <v>921</v>
      </c>
      <c r="K57" s="1" t="s">
        <v>921</v>
      </c>
      <c r="L57" s="1" t="s">
        <v>921</v>
      </c>
      <c r="M57" s="1">
        <v>4</v>
      </c>
    </row>
    <row r="60" spans="15:16" ht="12.75">
      <c r="O60" s="1"/>
      <c r="P60" s="1"/>
    </row>
    <row r="62" spans="1:13" ht="12.75">
      <c r="A62" s="7"/>
      <c r="B62" s="7"/>
      <c r="M62" s="1"/>
    </row>
    <row r="63" spans="1:16" ht="12.75">
      <c r="A63" s="7"/>
      <c r="B63" s="7"/>
      <c r="M63" s="1"/>
      <c r="O63" s="1" t="s">
        <v>406</v>
      </c>
      <c r="P63" s="1" t="s">
        <v>407</v>
      </c>
    </row>
    <row r="64" spans="1:19" ht="12.75">
      <c r="A64" s="28"/>
      <c r="B64" s="30"/>
      <c r="D64" s="1" t="s">
        <v>945</v>
      </c>
      <c r="E64" s="1" t="s">
        <v>946</v>
      </c>
      <c r="F64" s="1" t="s">
        <v>947</v>
      </c>
      <c r="G64" s="1" t="s">
        <v>948</v>
      </c>
      <c r="H64" s="1" t="s">
        <v>947</v>
      </c>
      <c r="I64" s="1" t="s">
        <v>949</v>
      </c>
      <c r="J64" s="1" t="s">
        <v>947</v>
      </c>
      <c r="L64" s="1" t="s">
        <v>1332</v>
      </c>
      <c r="M64" s="1">
        <v>0</v>
      </c>
      <c r="N64" s="1" t="s">
        <v>698</v>
      </c>
      <c r="O64" s="1">
        <v>0</v>
      </c>
      <c r="P64" s="1">
        <v>0</v>
      </c>
      <c r="Q64" s="1">
        <v>0</v>
      </c>
      <c r="R64" s="136" t="s">
        <v>699</v>
      </c>
      <c r="S64" t="s">
        <v>698</v>
      </c>
    </row>
    <row r="65" spans="1:19" ht="12.75">
      <c r="A65" s="28"/>
      <c r="B65" s="30"/>
      <c r="D65" s="1">
        <v>1</v>
      </c>
      <c r="E65" s="2">
        <v>1</v>
      </c>
      <c r="F65" s="3">
        <v>3</v>
      </c>
      <c r="G65" s="2">
        <v>0</v>
      </c>
      <c r="H65" s="3">
        <v>3</v>
      </c>
      <c r="I65" s="2">
        <v>0</v>
      </c>
      <c r="J65" s="3">
        <v>2</v>
      </c>
      <c r="K65" s="1">
        <v>1</v>
      </c>
      <c r="L65" s="1">
        <v>1</v>
      </c>
      <c r="M65" s="95">
        <v>1</v>
      </c>
      <c r="N65" s="9" t="s">
        <v>1333</v>
      </c>
      <c r="O65" s="9">
        <v>1</v>
      </c>
      <c r="P65" s="21">
        <v>2</v>
      </c>
      <c r="Q65" s="96">
        <f>M65</f>
        <v>1</v>
      </c>
      <c r="R65" t="s">
        <v>294</v>
      </c>
      <c r="S65" t="str">
        <f>N65</f>
        <v>Feeble</v>
      </c>
    </row>
    <row r="66" spans="1:19" ht="12.75">
      <c r="A66" s="28"/>
      <c r="B66" s="30"/>
      <c r="D66" s="1">
        <v>13</v>
      </c>
      <c r="E66" s="2">
        <v>2</v>
      </c>
      <c r="F66" s="3">
        <v>4</v>
      </c>
      <c r="G66" s="2">
        <v>1</v>
      </c>
      <c r="H66" s="3">
        <v>4</v>
      </c>
      <c r="I66" s="2">
        <v>0</v>
      </c>
      <c r="J66" s="3">
        <v>4</v>
      </c>
      <c r="K66" s="1">
        <v>3</v>
      </c>
      <c r="L66" s="1">
        <v>6</v>
      </c>
      <c r="M66" s="97">
        <v>2</v>
      </c>
      <c r="N66" s="6" t="s">
        <v>1334</v>
      </c>
      <c r="O66" s="6">
        <v>3</v>
      </c>
      <c r="P66" s="10">
        <v>4</v>
      </c>
      <c r="Q66" s="3">
        <f aca="true" t="shared" si="1" ref="Q66:Q80">M66</f>
        <v>2</v>
      </c>
      <c r="R66" t="s">
        <v>295</v>
      </c>
      <c r="S66" t="str">
        <f aca="true" t="shared" si="2" ref="S66:S80">N66</f>
        <v>Poor</v>
      </c>
    </row>
    <row r="67" spans="1:19" ht="12.75">
      <c r="A67" s="7"/>
      <c r="B67" s="7"/>
      <c r="D67" s="1">
        <v>27</v>
      </c>
      <c r="E67" s="2">
        <v>3</v>
      </c>
      <c r="F67" s="3">
        <v>5</v>
      </c>
      <c r="G67" s="2">
        <v>1</v>
      </c>
      <c r="H67" s="3">
        <v>6</v>
      </c>
      <c r="I67" s="2">
        <v>1</v>
      </c>
      <c r="J67" s="3">
        <v>4</v>
      </c>
      <c r="K67" s="1">
        <v>5</v>
      </c>
      <c r="L67" s="1">
        <v>11</v>
      </c>
      <c r="M67" s="97">
        <v>3</v>
      </c>
      <c r="N67" s="6" t="s">
        <v>1335</v>
      </c>
      <c r="O67" s="6">
        <v>5</v>
      </c>
      <c r="P67" s="10">
        <v>6</v>
      </c>
      <c r="Q67" s="3">
        <f t="shared" si="1"/>
        <v>3</v>
      </c>
      <c r="R67" t="s">
        <v>296</v>
      </c>
      <c r="S67" t="str">
        <f t="shared" si="2"/>
        <v>Typical</v>
      </c>
    </row>
    <row r="68" spans="1:19" ht="12.75">
      <c r="A68" s="7"/>
      <c r="B68" s="7"/>
      <c r="D68" s="1">
        <v>42</v>
      </c>
      <c r="E68" s="2">
        <v>4</v>
      </c>
      <c r="F68" s="3">
        <v>6</v>
      </c>
      <c r="G68" s="2">
        <v>2</v>
      </c>
      <c r="H68" s="3">
        <v>4</v>
      </c>
      <c r="I68" s="2">
        <v>2</v>
      </c>
      <c r="J68" s="3">
        <v>4</v>
      </c>
      <c r="K68" s="1">
        <v>8</v>
      </c>
      <c r="L68" s="1">
        <v>16</v>
      </c>
      <c r="M68" s="97">
        <v>4</v>
      </c>
      <c r="N68" s="6" t="s">
        <v>1336</v>
      </c>
      <c r="O68" s="6">
        <v>8</v>
      </c>
      <c r="P68" s="10">
        <v>10</v>
      </c>
      <c r="Q68" s="3">
        <f t="shared" si="1"/>
        <v>4</v>
      </c>
      <c r="R68" t="s">
        <v>297</v>
      </c>
      <c r="S68" t="str">
        <f t="shared" si="2"/>
        <v>Good</v>
      </c>
    </row>
    <row r="69" spans="4:19" ht="12.75">
      <c r="D69" s="1">
        <v>56</v>
      </c>
      <c r="E69" s="2">
        <v>5</v>
      </c>
      <c r="F69" s="3">
        <v>7</v>
      </c>
      <c r="G69" s="2">
        <v>2</v>
      </c>
      <c r="H69" s="3">
        <v>6</v>
      </c>
      <c r="I69" s="2">
        <v>2</v>
      </c>
      <c r="J69" s="3">
        <v>6</v>
      </c>
      <c r="K69" s="1">
        <v>16</v>
      </c>
      <c r="L69" s="1">
        <v>41</v>
      </c>
      <c r="M69" s="97">
        <v>5</v>
      </c>
      <c r="N69" s="6" t="s">
        <v>1337</v>
      </c>
      <c r="O69" s="6">
        <v>16</v>
      </c>
      <c r="P69" s="10">
        <v>20</v>
      </c>
      <c r="Q69" s="3">
        <f t="shared" si="1"/>
        <v>5</v>
      </c>
      <c r="R69" t="s">
        <v>298</v>
      </c>
      <c r="S69" t="str">
        <f t="shared" si="2"/>
        <v>Excellent</v>
      </c>
    </row>
    <row r="70" spans="4:19" ht="12.75">
      <c r="D70" s="1">
        <v>67</v>
      </c>
      <c r="E70" s="2">
        <v>2</v>
      </c>
      <c r="F70" s="3">
        <v>8</v>
      </c>
      <c r="G70" s="2">
        <v>2</v>
      </c>
      <c r="H70" s="3">
        <v>8</v>
      </c>
      <c r="I70" s="2">
        <v>3</v>
      </c>
      <c r="J70" s="3">
        <v>3</v>
      </c>
      <c r="K70" s="1">
        <v>26</v>
      </c>
      <c r="L70" s="1">
        <v>51</v>
      </c>
      <c r="M70" s="97">
        <v>6</v>
      </c>
      <c r="N70" s="6" t="s">
        <v>1338</v>
      </c>
      <c r="O70" s="6">
        <v>26</v>
      </c>
      <c r="P70" s="10">
        <v>30</v>
      </c>
      <c r="Q70" s="3">
        <f t="shared" si="1"/>
        <v>6</v>
      </c>
      <c r="R70" t="s">
        <v>299</v>
      </c>
      <c r="S70" t="str">
        <f t="shared" si="2"/>
        <v>Remarkable</v>
      </c>
    </row>
    <row r="71" spans="4:19" ht="12.75">
      <c r="D71" s="1">
        <v>76</v>
      </c>
      <c r="E71" s="2">
        <v>7</v>
      </c>
      <c r="F71" s="3">
        <v>9</v>
      </c>
      <c r="G71" s="2">
        <v>3</v>
      </c>
      <c r="H71" s="3">
        <v>4</v>
      </c>
      <c r="I71" s="2">
        <v>3</v>
      </c>
      <c r="J71" s="3">
        <v>4</v>
      </c>
      <c r="K71" s="1">
        <v>36</v>
      </c>
      <c r="L71" s="1">
        <v>71</v>
      </c>
      <c r="M71" s="97">
        <v>7</v>
      </c>
      <c r="N71" s="6" t="s">
        <v>1339</v>
      </c>
      <c r="O71" s="6">
        <v>36</v>
      </c>
      <c r="P71" s="10">
        <v>40</v>
      </c>
      <c r="Q71" s="3">
        <f t="shared" si="1"/>
        <v>7</v>
      </c>
      <c r="R71" t="s">
        <v>300</v>
      </c>
      <c r="S71" t="str">
        <f t="shared" si="2"/>
        <v>Incredible</v>
      </c>
    </row>
    <row r="72" spans="4:19" ht="12.75">
      <c r="D72" s="1">
        <v>84</v>
      </c>
      <c r="E72" s="2">
        <v>8</v>
      </c>
      <c r="F72" s="3">
        <v>10</v>
      </c>
      <c r="G72" s="2">
        <v>3</v>
      </c>
      <c r="H72" s="3">
        <v>6</v>
      </c>
      <c r="I72" s="2">
        <v>3</v>
      </c>
      <c r="J72" s="3">
        <v>6</v>
      </c>
      <c r="K72" s="1">
        <v>46</v>
      </c>
      <c r="L72" s="1">
        <v>91</v>
      </c>
      <c r="M72" s="97">
        <v>8</v>
      </c>
      <c r="N72" s="6" t="s">
        <v>1340</v>
      </c>
      <c r="O72" s="6">
        <v>46</v>
      </c>
      <c r="P72" s="10">
        <v>50</v>
      </c>
      <c r="Q72" s="3">
        <f t="shared" si="1"/>
        <v>8</v>
      </c>
      <c r="R72" t="s">
        <v>301</v>
      </c>
      <c r="S72" t="str">
        <f t="shared" si="2"/>
        <v>Amazing</v>
      </c>
    </row>
    <row r="73" spans="4:19" ht="12.75">
      <c r="D73" s="1">
        <v>90</v>
      </c>
      <c r="E73" s="2">
        <v>9</v>
      </c>
      <c r="F73" s="3">
        <v>12</v>
      </c>
      <c r="G73" s="2">
        <v>4</v>
      </c>
      <c r="H73" s="3">
        <v>8</v>
      </c>
      <c r="I73" s="2">
        <v>4</v>
      </c>
      <c r="J73" s="3">
        <v>4</v>
      </c>
      <c r="K73" s="1">
        <v>63</v>
      </c>
      <c r="L73" s="1">
        <v>99</v>
      </c>
      <c r="M73" s="97">
        <v>9</v>
      </c>
      <c r="N73" s="6" t="s">
        <v>1341</v>
      </c>
      <c r="O73" s="6">
        <v>63</v>
      </c>
      <c r="P73" s="10">
        <v>75</v>
      </c>
      <c r="Q73" s="3">
        <f t="shared" si="1"/>
        <v>9</v>
      </c>
      <c r="R73" t="s">
        <v>302</v>
      </c>
      <c r="S73" t="str">
        <f t="shared" si="2"/>
        <v>Monstrous</v>
      </c>
    </row>
    <row r="74" spans="4:19" ht="12.75">
      <c r="D74" s="1">
        <v>95</v>
      </c>
      <c r="E74" s="2">
        <v>10</v>
      </c>
      <c r="F74" s="3">
        <v>12</v>
      </c>
      <c r="G74" s="2">
        <v>4</v>
      </c>
      <c r="H74" s="3">
        <v>4</v>
      </c>
      <c r="I74" s="2">
        <v>4</v>
      </c>
      <c r="J74" s="3">
        <v>5</v>
      </c>
      <c r="K74" s="1">
        <v>88</v>
      </c>
      <c r="L74" s="1" t="s">
        <v>921</v>
      </c>
      <c r="M74" s="97">
        <v>10</v>
      </c>
      <c r="N74" s="6" t="s">
        <v>1342</v>
      </c>
      <c r="O74" s="6">
        <v>88</v>
      </c>
      <c r="P74" s="10">
        <v>100</v>
      </c>
      <c r="Q74" s="3">
        <f t="shared" si="1"/>
        <v>10</v>
      </c>
      <c r="R74" t="s">
        <v>303</v>
      </c>
      <c r="S74" t="str">
        <f t="shared" si="2"/>
        <v>Unearthly</v>
      </c>
    </row>
    <row r="75" spans="4:19" ht="12.75">
      <c r="D75" s="1">
        <v>98</v>
      </c>
      <c r="E75" s="2">
        <v>12</v>
      </c>
      <c r="F75" s="3">
        <v>14</v>
      </c>
      <c r="G75" s="2">
        <v>5</v>
      </c>
      <c r="H75" s="3">
        <v>6</v>
      </c>
      <c r="I75" s="2">
        <v>5</v>
      </c>
      <c r="J75" s="3">
        <v>5</v>
      </c>
      <c r="K75" s="1">
        <v>126</v>
      </c>
      <c r="L75" s="1" t="s">
        <v>921</v>
      </c>
      <c r="M75" s="97">
        <v>11</v>
      </c>
      <c r="N75" s="6" t="s">
        <v>1343</v>
      </c>
      <c r="O75" s="6">
        <v>126</v>
      </c>
      <c r="P75" s="10">
        <v>150</v>
      </c>
      <c r="Q75" s="3">
        <f t="shared" si="1"/>
        <v>11</v>
      </c>
      <c r="R75" t="s">
        <v>304</v>
      </c>
      <c r="S75" t="str">
        <f t="shared" si="2"/>
        <v>Shift-X</v>
      </c>
    </row>
    <row r="76" spans="4:19" ht="12.75">
      <c r="D76" s="1">
        <v>100</v>
      </c>
      <c r="E76" s="2">
        <v>14</v>
      </c>
      <c r="F76" s="3">
        <v>18</v>
      </c>
      <c r="G76" s="2">
        <v>6</v>
      </c>
      <c r="H76" s="3">
        <v>8</v>
      </c>
      <c r="I76" s="2">
        <v>6</v>
      </c>
      <c r="J76" s="3">
        <v>6</v>
      </c>
      <c r="K76" s="1">
        <v>176</v>
      </c>
      <c r="M76" s="97">
        <v>12</v>
      </c>
      <c r="N76" s="6" t="s">
        <v>1364</v>
      </c>
      <c r="O76" s="6">
        <v>176</v>
      </c>
      <c r="P76" s="10">
        <v>200</v>
      </c>
      <c r="Q76" s="3">
        <f t="shared" si="1"/>
        <v>12</v>
      </c>
      <c r="R76" t="s">
        <v>305</v>
      </c>
      <c r="S76" t="str">
        <f t="shared" si="2"/>
        <v>Shift-Y</v>
      </c>
    </row>
    <row r="77" spans="11:19" ht="12.75">
      <c r="K77" s="1">
        <v>351</v>
      </c>
      <c r="M77" s="97">
        <v>13</v>
      </c>
      <c r="N77" s="6" t="s">
        <v>1365</v>
      </c>
      <c r="O77" s="6">
        <v>351</v>
      </c>
      <c r="P77" s="10">
        <v>500</v>
      </c>
      <c r="Q77" s="3">
        <f t="shared" si="1"/>
        <v>13</v>
      </c>
      <c r="R77" t="s">
        <v>306</v>
      </c>
      <c r="S77" t="str">
        <f t="shared" si="2"/>
        <v>Shift-Z</v>
      </c>
    </row>
    <row r="78" spans="11:19" ht="12.75">
      <c r="K78" s="1">
        <v>1000</v>
      </c>
      <c r="M78" s="97">
        <v>14</v>
      </c>
      <c r="N78" s="6" t="s">
        <v>1366</v>
      </c>
      <c r="O78" s="6">
        <v>1000</v>
      </c>
      <c r="P78" s="10">
        <v>1000</v>
      </c>
      <c r="Q78" s="3">
        <f t="shared" si="1"/>
        <v>14</v>
      </c>
      <c r="R78" t="s">
        <v>307</v>
      </c>
      <c r="S78" t="str">
        <f t="shared" si="2"/>
        <v>CL1000</v>
      </c>
    </row>
    <row r="79" spans="11:19" ht="12.75">
      <c r="K79" s="1">
        <v>3000</v>
      </c>
      <c r="M79" s="97">
        <v>15</v>
      </c>
      <c r="N79" s="6" t="s">
        <v>1367</v>
      </c>
      <c r="O79" s="6">
        <v>3000</v>
      </c>
      <c r="P79" s="10">
        <v>3000</v>
      </c>
      <c r="Q79" s="3">
        <f t="shared" si="1"/>
        <v>15</v>
      </c>
      <c r="R79" t="s">
        <v>308</v>
      </c>
      <c r="S79" t="str">
        <f t="shared" si="2"/>
        <v>CL3000</v>
      </c>
    </row>
    <row r="80" spans="11:19" ht="12.75">
      <c r="K80" s="1">
        <v>5000</v>
      </c>
      <c r="M80" s="98">
        <v>16</v>
      </c>
      <c r="N80" s="4" t="s">
        <v>1368</v>
      </c>
      <c r="O80" s="4">
        <v>5000</v>
      </c>
      <c r="P80" s="12">
        <v>5000</v>
      </c>
      <c r="Q80" s="99">
        <f t="shared" si="1"/>
        <v>16</v>
      </c>
      <c r="R80" t="s">
        <v>309</v>
      </c>
      <c r="S80" t="str">
        <f t="shared" si="2"/>
        <v>CL5000</v>
      </c>
    </row>
    <row r="81" spans="3:30" ht="12.75">
      <c r="C81" t="s">
        <v>495</v>
      </c>
      <c r="D81" s="1">
        <v>1</v>
      </c>
      <c r="E81" s="1">
        <v>2</v>
      </c>
      <c r="F81" s="1">
        <v>3</v>
      </c>
      <c r="G81" s="1">
        <v>4</v>
      </c>
      <c r="H81" s="1">
        <v>5</v>
      </c>
      <c r="I81" s="1">
        <v>6</v>
      </c>
      <c r="J81" s="1">
        <v>7</v>
      </c>
      <c r="K81" s="1">
        <v>8</v>
      </c>
      <c r="L81" s="1">
        <v>9</v>
      </c>
      <c r="M81" s="10">
        <v>10</v>
      </c>
      <c r="N81" s="10">
        <v>11</v>
      </c>
      <c r="O81" s="1">
        <v>12</v>
      </c>
      <c r="P81" s="10">
        <v>13</v>
      </c>
      <c r="Q81" s="1">
        <v>14</v>
      </c>
      <c r="R81" s="1">
        <v>15</v>
      </c>
      <c r="S81" s="1">
        <v>16</v>
      </c>
      <c r="T81" s="1">
        <v>17</v>
      </c>
      <c r="U81" s="1">
        <v>18</v>
      </c>
      <c r="V81" s="1">
        <v>19</v>
      </c>
      <c r="W81" s="1">
        <v>20</v>
      </c>
      <c r="X81" s="1">
        <v>21</v>
      </c>
      <c r="Y81" s="1">
        <v>22</v>
      </c>
      <c r="Z81" s="1">
        <v>23</v>
      </c>
      <c r="AA81" s="1">
        <v>24</v>
      </c>
      <c r="AB81" s="1">
        <v>25</v>
      </c>
      <c r="AC81" s="1">
        <v>26</v>
      </c>
      <c r="AD81" s="1">
        <v>27</v>
      </c>
    </row>
    <row r="82" spans="3:30" ht="12.75">
      <c r="C82" t="s">
        <v>923</v>
      </c>
      <c r="D82" s="1" t="s">
        <v>923</v>
      </c>
      <c r="E82" s="1" t="s">
        <v>1350</v>
      </c>
      <c r="F82" s="1" t="s">
        <v>1351</v>
      </c>
      <c r="G82" s="1" t="s">
        <v>1352</v>
      </c>
      <c r="H82" s="1" t="s">
        <v>1353</v>
      </c>
      <c r="I82" s="1" t="s">
        <v>1354</v>
      </c>
      <c r="J82" s="1" t="s">
        <v>61</v>
      </c>
      <c r="K82" s="1" t="s">
        <v>62</v>
      </c>
      <c r="L82" s="1" t="s">
        <v>1073</v>
      </c>
      <c r="M82" s="1" t="s">
        <v>1075</v>
      </c>
      <c r="N82" s="1" t="s">
        <v>496</v>
      </c>
      <c r="O82" s="1" t="s">
        <v>497</v>
      </c>
      <c r="P82" s="1" t="s">
        <v>519</v>
      </c>
      <c r="Q82" s="1" t="s">
        <v>637</v>
      </c>
      <c r="R82" s="1" t="s">
        <v>638</v>
      </c>
      <c r="S82" s="1" t="s">
        <v>587</v>
      </c>
      <c r="T82" s="1" t="s">
        <v>588</v>
      </c>
      <c r="U82" s="1" t="s">
        <v>278</v>
      </c>
      <c r="V82" s="1" t="s">
        <v>279</v>
      </c>
      <c r="W82" s="1" t="s">
        <v>283</v>
      </c>
      <c r="X82" s="1" t="s">
        <v>315</v>
      </c>
      <c r="Y82" s="1" t="s">
        <v>325</v>
      </c>
      <c r="Z82" s="1" t="s">
        <v>348</v>
      </c>
      <c r="AA82" s="1" t="s">
        <v>349</v>
      </c>
      <c r="AB82" s="1" t="s">
        <v>1376</v>
      </c>
      <c r="AC82" s="1" t="s">
        <v>1377</v>
      </c>
      <c r="AD82" s="1" t="s">
        <v>1405</v>
      </c>
    </row>
    <row r="83" spans="3:30" ht="12.75">
      <c r="C83" t="s">
        <v>1333</v>
      </c>
      <c r="D83" s="1" t="str">
        <f aca="true" t="shared" si="3" ref="D83:D98">N65</f>
        <v>Feeble</v>
      </c>
      <c r="E83" s="1" t="s">
        <v>433</v>
      </c>
      <c r="F83" s="1" t="s">
        <v>433</v>
      </c>
      <c r="G83" s="1" t="s">
        <v>1355</v>
      </c>
      <c r="H83" s="1" t="s">
        <v>23</v>
      </c>
      <c r="I83" s="1" t="s">
        <v>4</v>
      </c>
      <c r="J83" s="1" t="s">
        <v>434</v>
      </c>
      <c r="K83" s="1" t="s">
        <v>63</v>
      </c>
      <c r="L83" s="87" t="s">
        <v>455</v>
      </c>
      <c r="M83" s="1" t="s">
        <v>471</v>
      </c>
      <c r="N83" s="1" t="s">
        <v>1355</v>
      </c>
      <c r="O83" s="1" t="s">
        <v>1356</v>
      </c>
      <c r="P83" s="100" t="s">
        <v>520</v>
      </c>
      <c r="Q83" s="1" t="s">
        <v>1356</v>
      </c>
      <c r="R83" s="1" t="s">
        <v>642</v>
      </c>
      <c r="S83" s="100" t="s">
        <v>520</v>
      </c>
      <c r="T83" s="88">
        <v>0</v>
      </c>
      <c r="U83" s="1">
        <v>1</v>
      </c>
      <c r="V83" s="100" t="s">
        <v>282</v>
      </c>
      <c r="W83" s="1" t="s">
        <v>284</v>
      </c>
      <c r="X83" s="87">
        <v>300</v>
      </c>
      <c r="Y83" s="1" t="s">
        <v>326</v>
      </c>
      <c r="Z83" s="1" t="s">
        <v>350</v>
      </c>
      <c r="AA83" s="1" t="s">
        <v>351</v>
      </c>
      <c r="AB83" s="87" t="s">
        <v>1378</v>
      </c>
      <c r="AC83" s="87" t="s">
        <v>1379</v>
      </c>
      <c r="AD83" s="1" t="s">
        <v>1355</v>
      </c>
    </row>
    <row r="84" spans="3:30" ht="12.75">
      <c r="C84" t="s">
        <v>1334</v>
      </c>
      <c r="D84" s="1" t="str">
        <f t="shared" si="3"/>
        <v>Poor</v>
      </c>
      <c r="E84" s="1" t="s">
        <v>1355</v>
      </c>
      <c r="F84" s="1" t="s">
        <v>1355</v>
      </c>
      <c r="G84" s="1" t="s">
        <v>1375</v>
      </c>
      <c r="H84" s="1" t="s">
        <v>1355</v>
      </c>
      <c r="I84" s="1" t="s">
        <v>15</v>
      </c>
      <c r="J84" s="1" t="s">
        <v>435</v>
      </c>
      <c r="K84" s="1" t="s">
        <v>63</v>
      </c>
      <c r="L84" s="87" t="s">
        <v>456</v>
      </c>
      <c r="M84" s="1" t="s">
        <v>472</v>
      </c>
      <c r="N84" s="1" t="s">
        <v>1356</v>
      </c>
      <c r="O84" s="1" t="s">
        <v>1357</v>
      </c>
      <c r="P84" s="100" t="s">
        <v>521</v>
      </c>
      <c r="Q84" s="1" t="s">
        <v>1357</v>
      </c>
      <c r="R84" s="1" t="s">
        <v>643</v>
      </c>
      <c r="S84" s="100" t="s">
        <v>520</v>
      </c>
      <c r="T84" s="88">
        <v>0</v>
      </c>
      <c r="U84" s="1">
        <v>1</v>
      </c>
      <c r="V84" s="100" t="s">
        <v>281</v>
      </c>
      <c r="W84" s="1" t="s">
        <v>284</v>
      </c>
      <c r="X84" s="87">
        <v>600</v>
      </c>
      <c r="Y84" s="1" t="s">
        <v>327</v>
      </c>
      <c r="Z84" s="1" t="s">
        <v>351</v>
      </c>
      <c r="AA84" s="1" t="s">
        <v>361</v>
      </c>
      <c r="AB84" s="87" t="s">
        <v>1379</v>
      </c>
      <c r="AC84" s="87" t="s">
        <v>1381</v>
      </c>
      <c r="AD84" s="1" t="s">
        <v>1356</v>
      </c>
    </row>
    <row r="85" spans="3:30" ht="12.75">
      <c r="C85" t="s">
        <v>1335</v>
      </c>
      <c r="D85" s="1" t="str">
        <f t="shared" si="3"/>
        <v>Typical</v>
      </c>
      <c r="E85" s="1" t="s">
        <v>1356</v>
      </c>
      <c r="F85" s="1" t="s">
        <v>1374</v>
      </c>
      <c r="G85" s="1" t="s">
        <v>3</v>
      </c>
      <c r="H85" s="1" t="s">
        <v>1357</v>
      </c>
      <c r="I85" s="1" t="s">
        <v>13</v>
      </c>
      <c r="J85" s="1" t="s">
        <v>436</v>
      </c>
      <c r="K85" s="1" t="s">
        <v>63</v>
      </c>
      <c r="L85" s="87" t="s">
        <v>460</v>
      </c>
      <c r="M85" s="1" t="s">
        <v>473</v>
      </c>
      <c r="N85" s="1" t="s">
        <v>498</v>
      </c>
      <c r="O85" s="1" t="s">
        <v>1358</v>
      </c>
      <c r="P85" s="100" t="s">
        <v>522</v>
      </c>
      <c r="Q85" s="1" t="s">
        <v>1374</v>
      </c>
      <c r="R85" s="1" t="s">
        <v>644</v>
      </c>
      <c r="S85" s="100" t="s">
        <v>520</v>
      </c>
      <c r="T85" s="88">
        <v>0</v>
      </c>
      <c r="U85" s="1">
        <v>1</v>
      </c>
      <c r="V85" s="1" t="s">
        <v>280</v>
      </c>
      <c r="W85" s="1" t="s">
        <v>284</v>
      </c>
      <c r="X85" s="87">
        <v>1000</v>
      </c>
      <c r="Y85" s="1" t="s">
        <v>328</v>
      </c>
      <c r="Z85" s="1" t="s">
        <v>352</v>
      </c>
      <c r="AA85" s="1" t="s">
        <v>362</v>
      </c>
      <c r="AB85" s="87" t="s">
        <v>1380</v>
      </c>
      <c r="AC85" s="87" t="s">
        <v>1383</v>
      </c>
      <c r="AD85" s="1" t="s">
        <v>1356</v>
      </c>
    </row>
    <row r="86" spans="3:30" ht="12.75">
      <c r="C86" t="s">
        <v>1336</v>
      </c>
      <c r="D86" s="1" t="str">
        <f t="shared" si="3"/>
        <v>Good</v>
      </c>
      <c r="E86" s="1" t="s">
        <v>1357</v>
      </c>
      <c r="F86" s="1" t="s">
        <v>1375</v>
      </c>
      <c r="G86" s="1" t="s">
        <v>5</v>
      </c>
      <c r="H86" s="1" t="s">
        <v>24</v>
      </c>
      <c r="I86" s="1" t="s">
        <v>19</v>
      </c>
      <c r="J86" s="1" t="s">
        <v>437</v>
      </c>
      <c r="K86" s="1" t="s">
        <v>63</v>
      </c>
      <c r="L86" s="87" t="s">
        <v>461</v>
      </c>
      <c r="M86" s="1" t="s">
        <v>474</v>
      </c>
      <c r="N86" s="1" t="s">
        <v>1357</v>
      </c>
      <c r="O86" s="1" t="s">
        <v>1359</v>
      </c>
      <c r="P86" s="100" t="s">
        <v>523</v>
      </c>
      <c r="Q86" s="1" t="s">
        <v>1359</v>
      </c>
      <c r="R86" s="1" t="s">
        <v>645</v>
      </c>
      <c r="S86" s="100" t="s">
        <v>520</v>
      </c>
      <c r="T86" s="88">
        <v>1</v>
      </c>
      <c r="U86" s="1">
        <v>2</v>
      </c>
      <c r="V86" s="1" t="s">
        <v>280</v>
      </c>
      <c r="W86" s="1" t="s">
        <v>284</v>
      </c>
      <c r="X86" s="87">
        <v>1500</v>
      </c>
      <c r="Y86" s="1" t="s">
        <v>329</v>
      </c>
      <c r="Z86" s="1" t="s">
        <v>353</v>
      </c>
      <c r="AA86" s="1" t="s">
        <v>354</v>
      </c>
      <c r="AB86" s="87" t="s">
        <v>1381</v>
      </c>
      <c r="AC86" s="87" t="s">
        <v>1385</v>
      </c>
      <c r="AD86" s="1" t="s">
        <v>1356</v>
      </c>
    </row>
    <row r="87" spans="3:30" ht="12.75">
      <c r="C87" t="s">
        <v>1337</v>
      </c>
      <c r="D87" s="1" t="str">
        <f t="shared" si="3"/>
        <v>Excellent</v>
      </c>
      <c r="E87" s="1" t="s">
        <v>1358</v>
      </c>
      <c r="F87" s="1" t="s">
        <v>2</v>
      </c>
      <c r="G87" s="1" t="s">
        <v>6</v>
      </c>
      <c r="H87" s="1" t="s">
        <v>25</v>
      </c>
      <c r="I87" s="1" t="s">
        <v>34</v>
      </c>
      <c r="J87" s="1" t="s">
        <v>438</v>
      </c>
      <c r="K87" s="1" t="s">
        <v>415</v>
      </c>
      <c r="L87" s="87" t="s">
        <v>457</v>
      </c>
      <c r="M87" s="1" t="s">
        <v>475</v>
      </c>
      <c r="N87" s="1" t="s">
        <v>1374</v>
      </c>
      <c r="O87" s="1" t="s">
        <v>1375</v>
      </c>
      <c r="P87" s="100" t="s">
        <v>524</v>
      </c>
      <c r="Q87" s="1" t="s">
        <v>1375</v>
      </c>
      <c r="R87" s="1" t="s">
        <v>646</v>
      </c>
      <c r="S87" s="100" t="s">
        <v>520</v>
      </c>
      <c r="T87" s="88">
        <v>1</v>
      </c>
      <c r="U87" s="1">
        <v>2</v>
      </c>
      <c r="V87" s="100" t="s">
        <v>520</v>
      </c>
      <c r="W87" s="1" t="s">
        <v>284</v>
      </c>
      <c r="X87" s="87">
        <v>2000</v>
      </c>
      <c r="Y87" s="1" t="s">
        <v>330</v>
      </c>
      <c r="Z87" s="1" t="s">
        <v>354</v>
      </c>
      <c r="AA87" s="1" t="s">
        <v>363</v>
      </c>
      <c r="AB87" s="87" t="s">
        <v>1382</v>
      </c>
      <c r="AC87" s="87" t="s">
        <v>1387</v>
      </c>
      <c r="AD87" s="1" t="s">
        <v>1356</v>
      </c>
    </row>
    <row r="88" spans="3:30" ht="12.75">
      <c r="C88" t="s">
        <v>1338</v>
      </c>
      <c r="D88" s="1" t="str">
        <f t="shared" si="3"/>
        <v>Remarkable</v>
      </c>
      <c r="E88" s="1" t="s">
        <v>1359</v>
      </c>
      <c r="F88" s="1" t="s">
        <v>3</v>
      </c>
      <c r="G88" s="1" t="s">
        <v>14</v>
      </c>
      <c r="H88" s="1" t="s">
        <v>6</v>
      </c>
      <c r="I88" s="1" t="s">
        <v>22</v>
      </c>
      <c r="J88" s="1" t="s">
        <v>439</v>
      </c>
      <c r="K88" s="1" t="s">
        <v>415</v>
      </c>
      <c r="L88" s="87" t="s">
        <v>458</v>
      </c>
      <c r="M88" s="1" t="s">
        <v>476</v>
      </c>
      <c r="N88" s="1" t="s">
        <v>1358</v>
      </c>
      <c r="O88" s="1" t="s">
        <v>506</v>
      </c>
      <c r="P88" s="100" t="s">
        <v>525</v>
      </c>
      <c r="Q88" s="1" t="s">
        <v>506</v>
      </c>
      <c r="R88" s="1" t="s">
        <v>647</v>
      </c>
      <c r="S88" s="100" t="s">
        <v>521</v>
      </c>
      <c r="T88" s="88">
        <v>2</v>
      </c>
      <c r="U88" s="1">
        <v>3</v>
      </c>
      <c r="V88" s="100" t="s">
        <v>520</v>
      </c>
      <c r="W88" s="1" t="s">
        <v>284</v>
      </c>
      <c r="X88" s="87">
        <v>4000</v>
      </c>
      <c r="Y88" s="1" t="s">
        <v>331</v>
      </c>
      <c r="Z88" s="1" t="s">
        <v>355</v>
      </c>
      <c r="AA88" s="1" t="s">
        <v>364</v>
      </c>
      <c r="AB88" s="87" t="s">
        <v>1383</v>
      </c>
      <c r="AC88" s="87" t="s">
        <v>1394</v>
      </c>
      <c r="AD88" s="1" t="s">
        <v>498</v>
      </c>
    </row>
    <row r="89" spans="3:30" ht="12.75">
      <c r="C89" t="s">
        <v>1339</v>
      </c>
      <c r="D89" s="1" t="str">
        <f t="shared" si="3"/>
        <v>Incredible</v>
      </c>
      <c r="E89" s="1" t="s">
        <v>1375</v>
      </c>
      <c r="F89" s="1" t="s">
        <v>4</v>
      </c>
      <c r="G89" s="1" t="s">
        <v>15</v>
      </c>
      <c r="H89" s="1" t="s">
        <v>13</v>
      </c>
      <c r="I89" s="1" t="s">
        <v>35</v>
      </c>
      <c r="J89" s="1" t="s">
        <v>440</v>
      </c>
      <c r="K89" s="1" t="s">
        <v>415</v>
      </c>
      <c r="L89" s="87" t="s">
        <v>462</v>
      </c>
      <c r="M89" s="1" t="s">
        <v>477</v>
      </c>
      <c r="N89" s="1" t="s">
        <v>499</v>
      </c>
      <c r="O89" s="1" t="s">
        <v>1360</v>
      </c>
      <c r="P89" s="100" t="s">
        <v>526</v>
      </c>
      <c r="Q89" s="1" t="s">
        <v>1360</v>
      </c>
      <c r="R89" s="1" t="s">
        <v>648</v>
      </c>
      <c r="S89" s="100" t="s">
        <v>521</v>
      </c>
      <c r="T89" s="88">
        <v>2</v>
      </c>
      <c r="U89" s="1">
        <v>3</v>
      </c>
      <c r="V89" s="100" t="s">
        <v>521</v>
      </c>
      <c r="W89" s="1" t="s">
        <v>284</v>
      </c>
      <c r="X89" s="87">
        <v>6000</v>
      </c>
      <c r="Y89" s="1" t="s">
        <v>332</v>
      </c>
      <c r="Z89" s="1" t="s">
        <v>356</v>
      </c>
      <c r="AA89" s="1" t="s">
        <v>357</v>
      </c>
      <c r="AB89" s="87" t="s">
        <v>1384</v>
      </c>
      <c r="AC89" s="87" t="s">
        <v>1395</v>
      </c>
      <c r="AD89" s="1" t="s">
        <v>498</v>
      </c>
    </row>
    <row r="90" spans="3:30" ht="12.75">
      <c r="C90" t="s">
        <v>1340</v>
      </c>
      <c r="D90" s="1" t="str">
        <f t="shared" si="3"/>
        <v>Amazing</v>
      </c>
      <c r="E90" s="1" t="s">
        <v>1360</v>
      </c>
      <c r="F90" s="1" t="s">
        <v>5</v>
      </c>
      <c r="G90" s="1" t="s">
        <v>10</v>
      </c>
      <c r="H90" s="1" t="s">
        <v>26</v>
      </c>
      <c r="I90" s="1" t="s">
        <v>52</v>
      </c>
      <c r="J90" s="1" t="s">
        <v>441</v>
      </c>
      <c r="K90" s="1" t="s">
        <v>415</v>
      </c>
      <c r="L90" s="87" t="s">
        <v>463</v>
      </c>
      <c r="M90" s="1" t="s">
        <v>478</v>
      </c>
      <c r="N90" s="1" t="s">
        <v>1359</v>
      </c>
      <c r="O90" s="1" t="s">
        <v>2</v>
      </c>
      <c r="P90" s="100" t="s">
        <v>527</v>
      </c>
      <c r="Q90" s="1" t="s">
        <v>2</v>
      </c>
      <c r="R90" s="1" t="s">
        <v>649</v>
      </c>
      <c r="S90" s="100" t="s">
        <v>521</v>
      </c>
      <c r="T90" s="88">
        <v>2</v>
      </c>
      <c r="U90" s="1">
        <v>4</v>
      </c>
      <c r="V90" s="100" t="s">
        <v>521</v>
      </c>
      <c r="W90" s="1" t="s">
        <v>284</v>
      </c>
      <c r="X90" s="87" t="s">
        <v>316</v>
      </c>
      <c r="Y90" s="1" t="s">
        <v>333</v>
      </c>
      <c r="Z90" s="1" t="s">
        <v>357</v>
      </c>
      <c r="AA90" s="1" t="s">
        <v>365</v>
      </c>
      <c r="AB90" s="87" t="s">
        <v>1385</v>
      </c>
      <c r="AC90" s="87" t="s">
        <v>1396</v>
      </c>
      <c r="AD90" s="1" t="s">
        <v>498</v>
      </c>
    </row>
    <row r="91" spans="3:30" ht="12.75">
      <c r="C91" t="s">
        <v>1341</v>
      </c>
      <c r="D91" s="1" t="str">
        <f t="shared" si="3"/>
        <v>Monstrous</v>
      </c>
      <c r="E91" s="1" t="s">
        <v>1361</v>
      </c>
      <c r="F91" s="1" t="s">
        <v>6</v>
      </c>
      <c r="G91" s="1" t="s">
        <v>16</v>
      </c>
      <c r="H91" s="1" t="s">
        <v>27</v>
      </c>
      <c r="I91" s="1" t="s">
        <v>53</v>
      </c>
      <c r="J91" s="1" t="s">
        <v>442</v>
      </c>
      <c r="K91" s="1" t="s">
        <v>416</v>
      </c>
      <c r="L91" s="87" t="s">
        <v>464</v>
      </c>
      <c r="M91" s="1" t="s">
        <v>479</v>
      </c>
      <c r="N91" s="1" t="s">
        <v>500</v>
      </c>
      <c r="O91" s="1" t="s">
        <v>507</v>
      </c>
      <c r="P91" s="100" t="s">
        <v>528</v>
      </c>
      <c r="Q91" s="1" t="s">
        <v>507</v>
      </c>
      <c r="R91" s="1" t="s">
        <v>650</v>
      </c>
      <c r="S91" s="100" t="s">
        <v>522</v>
      </c>
      <c r="T91" s="88">
        <v>3</v>
      </c>
      <c r="U91" s="1">
        <v>5</v>
      </c>
      <c r="V91" s="100" t="s">
        <v>522</v>
      </c>
      <c r="W91" s="1" t="s">
        <v>285</v>
      </c>
      <c r="X91" s="87" t="s">
        <v>317</v>
      </c>
      <c r="Y91" s="1" t="s">
        <v>334</v>
      </c>
      <c r="Z91" s="1" t="s">
        <v>358</v>
      </c>
      <c r="AA91" s="1" t="s">
        <v>366</v>
      </c>
      <c r="AB91" s="87" t="s">
        <v>1386</v>
      </c>
      <c r="AC91" s="87" t="s">
        <v>1397</v>
      </c>
      <c r="AD91" s="1" t="s">
        <v>498</v>
      </c>
    </row>
    <row r="92" spans="3:30" ht="12.75">
      <c r="C92" t="s">
        <v>1342</v>
      </c>
      <c r="D92" s="1" t="str">
        <f t="shared" si="3"/>
        <v>Unearthly</v>
      </c>
      <c r="E92" s="1" t="s">
        <v>1362</v>
      </c>
      <c r="F92" s="1" t="s">
        <v>7</v>
      </c>
      <c r="G92" s="1" t="s">
        <v>13</v>
      </c>
      <c r="H92" s="1" t="s">
        <v>28</v>
      </c>
      <c r="I92" s="1" t="s">
        <v>54</v>
      </c>
      <c r="J92" s="1" t="s">
        <v>443</v>
      </c>
      <c r="K92" s="1" t="s">
        <v>416</v>
      </c>
      <c r="L92" s="87" t="s">
        <v>465</v>
      </c>
      <c r="M92" s="1" t="s">
        <v>480</v>
      </c>
      <c r="N92" s="1" t="s">
        <v>1375</v>
      </c>
      <c r="O92" s="1" t="s">
        <v>1361</v>
      </c>
      <c r="P92" s="100" t="s">
        <v>529</v>
      </c>
      <c r="Q92" s="1" t="s">
        <v>1361</v>
      </c>
      <c r="R92" s="1" t="s">
        <v>651</v>
      </c>
      <c r="S92" s="100" t="s">
        <v>522</v>
      </c>
      <c r="T92" s="88">
        <v>3</v>
      </c>
      <c r="U92" s="1">
        <v>6</v>
      </c>
      <c r="V92" s="100" t="s">
        <v>522</v>
      </c>
      <c r="W92" s="1" t="s">
        <v>286</v>
      </c>
      <c r="X92" s="87" t="s">
        <v>318</v>
      </c>
      <c r="Y92" s="1" t="s">
        <v>335</v>
      </c>
      <c r="Z92" s="1" t="s">
        <v>1355</v>
      </c>
      <c r="AA92" s="1" t="s">
        <v>359</v>
      </c>
      <c r="AB92" s="87" t="s">
        <v>1387</v>
      </c>
      <c r="AC92" s="87" t="s">
        <v>1398</v>
      </c>
      <c r="AD92" s="1" t="s">
        <v>498</v>
      </c>
    </row>
    <row r="93" spans="3:30" ht="12.75">
      <c r="C93" t="s">
        <v>1343</v>
      </c>
      <c r="D93" s="1" t="str">
        <f t="shared" si="3"/>
        <v>Shift-X</v>
      </c>
      <c r="E93" s="1" t="s">
        <v>1363</v>
      </c>
      <c r="F93" s="1" t="s">
        <v>8</v>
      </c>
      <c r="G93" s="1" t="s">
        <v>17</v>
      </c>
      <c r="H93" s="1" t="s">
        <v>29</v>
      </c>
      <c r="I93" s="1" t="s">
        <v>55</v>
      </c>
      <c r="J93" s="1" t="s">
        <v>444</v>
      </c>
      <c r="K93" s="1" t="s">
        <v>416</v>
      </c>
      <c r="L93" s="87" t="s">
        <v>466</v>
      </c>
      <c r="M93" s="1" t="s">
        <v>481</v>
      </c>
      <c r="N93" s="1" t="s">
        <v>501</v>
      </c>
      <c r="O93" s="1" t="s">
        <v>504</v>
      </c>
      <c r="P93" s="100" t="s">
        <v>530</v>
      </c>
      <c r="Q93" s="1" t="s">
        <v>504</v>
      </c>
      <c r="R93" s="1" t="s">
        <v>652</v>
      </c>
      <c r="S93" s="100" t="s">
        <v>522</v>
      </c>
      <c r="T93" s="88">
        <v>4</v>
      </c>
      <c r="U93" s="1">
        <v>8</v>
      </c>
      <c r="V93" s="100" t="s">
        <v>523</v>
      </c>
      <c r="W93" s="1" t="s">
        <v>287</v>
      </c>
      <c r="X93" s="87" t="s">
        <v>319</v>
      </c>
      <c r="Y93" s="1" t="s">
        <v>336</v>
      </c>
      <c r="Z93" s="1" t="s">
        <v>359</v>
      </c>
      <c r="AA93" s="1" t="s">
        <v>367</v>
      </c>
      <c r="AB93" s="87" t="s">
        <v>1388</v>
      </c>
      <c r="AC93" s="87" t="s">
        <v>1392</v>
      </c>
      <c r="AD93" s="1" t="s">
        <v>498</v>
      </c>
    </row>
    <row r="94" spans="3:30" ht="12.75">
      <c r="C94" t="s">
        <v>1364</v>
      </c>
      <c r="D94" s="1" t="str">
        <f t="shared" si="3"/>
        <v>Shift-Y</v>
      </c>
      <c r="E94" s="1" t="s">
        <v>1369</v>
      </c>
      <c r="F94" s="1" t="s">
        <v>9</v>
      </c>
      <c r="G94" s="1" t="s">
        <v>18</v>
      </c>
      <c r="H94" s="1" t="s">
        <v>22</v>
      </c>
      <c r="I94" s="1" t="s">
        <v>56</v>
      </c>
      <c r="J94" s="1" t="s">
        <v>445</v>
      </c>
      <c r="K94" s="1" t="s">
        <v>416</v>
      </c>
      <c r="L94" s="87" t="s">
        <v>467</v>
      </c>
      <c r="M94" s="1" t="s">
        <v>482</v>
      </c>
      <c r="N94" s="1" t="s">
        <v>502</v>
      </c>
      <c r="O94" s="1" t="s">
        <v>505</v>
      </c>
      <c r="P94" s="100" t="s">
        <v>531</v>
      </c>
      <c r="Q94" s="1" t="s">
        <v>505</v>
      </c>
      <c r="R94" s="1" t="s">
        <v>653</v>
      </c>
      <c r="S94" s="100" t="s">
        <v>522</v>
      </c>
      <c r="T94" s="88">
        <v>5</v>
      </c>
      <c r="U94" s="1">
        <v>10</v>
      </c>
      <c r="V94" s="100" t="s">
        <v>523</v>
      </c>
      <c r="W94" s="1" t="s">
        <v>288</v>
      </c>
      <c r="X94" s="87" t="s">
        <v>320</v>
      </c>
      <c r="Y94" s="1" t="s">
        <v>341</v>
      </c>
      <c r="Z94" s="1" t="s">
        <v>1357</v>
      </c>
      <c r="AA94" s="1" t="s">
        <v>1358</v>
      </c>
      <c r="AB94" s="87" t="s">
        <v>1389</v>
      </c>
      <c r="AC94" s="87" t="s">
        <v>1393</v>
      </c>
      <c r="AD94" s="1" t="s">
        <v>498</v>
      </c>
    </row>
    <row r="95" spans="3:30" ht="12.75">
      <c r="C95" t="s">
        <v>1365</v>
      </c>
      <c r="D95" s="1" t="str">
        <f t="shared" si="3"/>
        <v>Shift-Z</v>
      </c>
      <c r="E95" s="1" t="s">
        <v>1370</v>
      </c>
      <c r="F95" s="1" t="s">
        <v>10</v>
      </c>
      <c r="G95" s="1" t="s">
        <v>19</v>
      </c>
      <c r="H95" s="1" t="s">
        <v>30</v>
      </c>
      <c r="I95" s="1" t="s">
        <v>57</v>
      </c>
      <c r="J95" s="1" t="s">
        <v>446</v>
      </c>
      <c r="K95" s="1" t="s">
        <v>416</v>
      </c>
      <c r="L95" s="88" t="s">
        <v>591</v>
      </c>
      <c r="M95" s="1" t="s">
        <v>483</v>
      </c>
      <c r="N95" s="1" t="s">
        <v>24</v>
      </c>
      <c r="O95" s="1" t="s">
        <v>508</v>
      </c>
      <c r="P95" s="100" t="s">
        <v>532</v>
      </c>
      <c r="Q95" s="1" t="s">
        <v>508</v>
      </c>
      <c r="R95" s="1" t="s">
        <v>654</v>
      </c>
      <c r="S95" s="100" t="s">
        <v>522</v>
      </c>
      <c r="T95" s="88">
        <v>6</v>
      </c>
      <c r="U95" s="1">
        <v>12</v>
      </c>
      <c r="V95" s="100" t="s">
        <v>524</v>
      </c>
      <c r="W95" s="1" t="s">
        <v>289</v>
      </c>
      <c r="X95" s="87" t="s">
        <v>321</v>
      </c>
      <c r="Y95" s="1" t="s">
        <v>337</v>
      </c>
      <c r="Z95" s="1" t="s">
        <v>1359</v>
      </c>
      <c r="AA95" s="1" t="s">
        <v>501</v>
      </c>
      <c r="AB95" s="87" t="s">
        <v>1390</v>
      </c>
      <c r="AC95" s="87" t="s">
        <v>1399</v>
      </c>
      <c r="AD95" s="1" t="s">
        <v>498</v>
      </c>
    </row>
    <row r="96" spans="3:30" ht="12.75">
      <c r="C96" t="s">
        <v>1366</v>
      </c>
      <c r="D96" s="1" t="str">
        <f t="shared" si="3"/>
        <v>CL1000</v>
      </c>
      <c r="E96" s="1" t="s">
        <v>1371</v>
      </c>
      <c r="F96" s="1" t="s">
        <v>11</v>
      </c>
      <c r="G96" s="1" t="s">
        <v>20</v>
      </c>
      <c r="H96" s="1" t="s">
        <v>31</v>
      </c>
      <c r="I96" s="1" t="s">
        <v>58</v>
      </c>
      <c r="J96" s="1" t="s">
        <v>447</v>
      </c>
      <c r="K96" s="1" t="s">
        <v>416</v>
      </c>
      <c r="L96" s="88" t="s">
        <v>590</v>
      </c>
      <c r="M96" s="1" t="s">
        <v>484</v>
      </c>
      <c r="N96" s="1" t="s">
        <v>503</v>
      </c>
      <c r="O96" s="1" t="s">
        <v>509</v>
      </c>
      <c r="P96" s="100" t="s">
        <v>533</v>
      </c>
      <c r="Q96" s="1" t="s">
        <v>639</v>
      </c>
      <c r="R96" s="1" t="s">
        <v>655</v>
      </c>
      <c r="S96" s="100" t="s">
        <v>523</v>
      </c>
      <c r="T96" s="88">
        <v>8</v>
      </c>
      <c r="U96" s="1">
        <v>20</v>
      </c>
      <c r="V96" s="100" t="s">
        <v>524</v>
      </c>
      <c r="W96" s="1" t="s">
        <v>290</v>
      </c>
      <c r="X96" s="87" t="s">
        <v>322</v>
      </c>
      <c r="Y96" s="1" t="s">
        <v>338</v>
      </c>
      <c r="Z96" s="1" t="s">
        <v>360</v>
      </c>
      <c r="AA96" s="1" t="s">
        <v>368</v>
      </c>
      <c r="AB96" s="87" t="s">
        <v>1391</v>
      </c>
      <c r="AC96" s="87" t="s">
        <v>509</v>
      </c>
      <c r="AD96" s="1" t="s">
        <v>498</v>
      </c>
    </row>
    <row r="97" spans="3:30" ht="12.75">
      <c r="C97" t="s">
        <v>1367</v>
      </c>
      <c r="D97" s="1" t="str">
        <f t="shared" si="3"/>
        <v>CL3000</v>
      </c>
      <c r="E97" s="1" t="s">
        <v>1372</v>
      </c>
      <c r="F97" s="1" t="s">
        <v>12</v>
      </c>
      <c r="G97" s="1" t="s">
        <v>21</v>
      </c>
      <c r="H97" s="1" t="s">
        <v>32</v>
      </c>
      <c r="I97" s="1" t="s">
        <v>59</v>
      </c>
      <c r="J97" s="1" t="s">
        <v>448</v>
      </c>
      <c r="K97" s="1" t="s">
        <v>416</v>
      </c>
      <c r="L97" s="87" t="s">
        <v>589</v>
      </c>
      <c r="M97" s="1" t="s">
        <v>486</v>
      </c>
      <c r="N97" s="1" t="s">
        <v>504</v>
      </c>
      <c r="O97" s="1" t="s">
        <v>510</v>
      </c>
      <c r="P97" s="100" t="s">
        <v>534</v>
      </c>
      <c r="Q97" s="1" t="s">
        <v>641</v>
      </c>
      <c r="R97" s="1" t="s">
        <v>656</v>
      </c>
      <c r="S97" s="100" t="s">
        <v>524</v>
      </c>
      <c r="T97" s="88">
        <v>10</v>
      </c>
      <c r="U97" s="1">
        <v>30</v>
      </c>
      <c r="V97" s="100" t="s">
        <v>525</v>
      </c>
      <c r="W97" s="1" t="s">
        <v>291</v>
      </c>
      <c r="X97" s="87" t="s">
        <v>510</v>
      </c>
      <c r="Y97" s="1" t="s">
        <v>339</v>
      </c>
      <c r="Z97" s="1" t="s">
        <v>3</v>
      </c>
      <c r="AA97" s="1" t="s">
        <v>369</v>
      </c>
      <c r="AB97" s="87" t="s">
        <v>1392</v>
      </c>
      <c r="AC97" s="87" t="s">
        <v>510</v>
      </c>
      <c r="AD97" s="1" t="s">
        <v>498</v>
      </c>
    </row>
    <row r="98" spans="3:30" ht="12.75">
      <c r="C98" t="s">
        <v>1368</v>
      </c>
      <c r="D98" s="1" t="str">
        <f t="shared" si="3"/>
        <v>CL5000</v>
      </c>
      <c r="E98" s="1" t="s">
        <v>1373</v>
      </c>
      <c r="F98" s="1" t="s">
        <v>13</v>
      </c>
      <c r="G98" s="1" t="s">
        <v>22</v>
      </c>
      <c r="H98" s="1" t="s">
        <v>33</v>
      </c>
      <c r="I98" s="1" t="s">
        <v>60</v>
      </c>
      <c r="J98" s="1" t="s">
        <v>449</v>
      </c>
      <c r="K98" s="1" t="s">
        <v>416</v>
      </c>
      <c r="L98" s="87" t="s">
        <v>459</v>
      </c>
      <c r="M98" s="1" t="s">
        <v>485</v>
      </c>
      <c r="N98" s="1" t="s">
        <v>505</v>
      </c>
      <c r="O98" s="1" t="s">
        <v>511</v>
      </c>
      <c r="P98" s="100" t="s">
        <v>535</v>
      </c>
      <c r="Q98" s="1" t="s">
        <v>640</v>
      </c>
      <c r="R98" s="1" t="s">
        <v>657</v>
      </c>
      <c r="S98" s="100" t="s">
        <v>525</v>
      </c>
      <c r="T98" s="88">
        <v>12</v>
      </c>
      <c r="U98" s="1">
        <v>40</v>
      </c>
      <c r="V98" s="100" t="s">
        <v>526</v>
      </c>
      <c r="W98" s="1" t="s">
        <v>292</v>
      </c>
      <c r="X98" s="87" t="s">
        <v>511</v>
      </c>
      <c r="Y98" s="1" t="s">
        <v>340</v>
      </c>
      <c r="Z98" s="1" t="s">
        <v>4</v>
      </c>
      <c r="AA98" s="1" t="s">
        <v>5</v>
      </c>
      <c r="AB98" s="87" t="s">
        <v>1393</v>
      </c>
      <c r="AC98" s="87" t="s">
        <v>511</v>
      </c>
      <c r="AD98" s="1" t="s">
        <v>498</v>
      </c>
    </row>
    <row r="104" ht="12.75">
      <c r="K104" s="1" t="s">
        <v>164</v>
      </c>
    </row>
    <row r="105" spans="4:15" ht="12.75">
      <c r="D105" s="1" t="s">
        <v>125</v>
      </c>
      <c r="I105" s="1" t="s">
        <v>163</v>
      </c>
      <c r="J105" s="1">
        <v>1</v>
      </c>
      <c r="K105" s="1">
        <v>2</v>
      </c>
      <c r="L105" s="1">
        <v>3</v>
      </c>
      <c r="N105" s="27"/>
      <c r="O105" s="27" t="s">
        <v>165</v>
      </c>
    </row>
    <row r="106" spans="4:23" ht="12.75">
      <c r="D106" s="31">
        <v>1</v>
      </c>
      <c r="E106" s="32">
        <v>1</v>
      </c>
      <c r="F106" s="36" t="s">
        <v>97</v>
      </c>
      <c r="G106" s="31">
        <v>1</v>
      </c>
      <c r="H106" s="32">
        <v>1</v>
      </c>
      <c r="I106" s="39" t="s">
        <v>100</v>
      </c>
      <c r="J106" s="39">
        <v>101</v>
      </c>
      <c r="K106" s="39">
        <v>111</v>
      </c>
      <c r="L106" s="40">
        <v>122</v>
      </c>
      <c r="N106" s="27">
        <v>1</v>
      </c>
      <c r="O106" s="45" t="s">
        <v>166</v>
      </c>
      <c r="P106" s="46"/>
      <c r="Q106" s="44"/>
      <c r="R106" s="45"/>
      <c r="S106" s="46"/>
      <c r="T106" s="44"/>
      <c r="U106" s="45"/>
      <c r="V106" s="46"/>
      <c r="W106" s="44"/>
    </row>
    <row r="107" spans="4:23" ht="12.75">
      <c r="D107" s="33">
        <v>26</v>
      </c>
      <c r="E107" s="29">
        <v>2</v>
      </c>
      <c r="F107" s="30" t="s">
        <v>98</v>
      </c>
      <c r="G107" s="33">
        <v>3</v>
      </c>
      <c r="H107" s="29">
        <v>2</v>
      </c>
      <c r="I107" s="38" t="s">
        <v>101</v>
      </c>
      <c r="J107" s="38">
        <v>106</v>
      </c>
      <c r="K107" s="38">
        <v>116</v>
      </c>
      <c r="L107" s="41">
        <v>127</v>
      </c>
      <c r="N107" s="27">
        <v>21</v>
      </c>
      <c r="O107" s="45" t="s">
        <v>168</v>
      </c>
      <c r="P107" s="46"/>
      <c r="Q107" s="44"/>
      <c r="R107" s="45"/>
      <c r="S107" s="46"/>
      <c r="T107" s="44"/>
      <c r="U107" s="45"/>
      <c r="V107" s="46"/>
      <c r="W107" s="44"/>
    </row>
    <row r="108" spans="4:23" ht="12.75">
      <c r="D108" s="34">
        <v>76</v>
      </c>
      <c r="E108" s="35">
        <v>3</v>
      </c>
      <c r="F108" s="37" t="s">
        <v>99</v>
      </c>
      <c r="G108" s="33">
        <v>7</v>
      </c>
      <c r="H108" s="29">
        <v>3</v>
      </c>
      <c r="I108" s="38" t="s">
        <v>102</v>
      </c>
      <c r="J108" s="38">
        <v>110</v>
      </c>
      <c r="K108" s="38">
        <v>120</v>
      </c>
      <c r="L108" s="41">
        <v>132</v>
      </c>
      <c r="N108" s="27">
        <v>61</v>
      </c>
      <c r="O108" s="45" t="s">
        <v>167</v>
      </c>
      <c r="P108" s="46"/>
      <c r="Q108" s="44"/>
      <c r="R108" s="45"/>
      <c r="S108" s="46"/>
      <c r="T108" s="44"/>
      <c r="U108" s="45"/>
      <c r="V108" s="46"/>
      <c r="W108" s="44"/>
    </row>
    <row r="109" spans="4:23" ht="12.75">
      <c r="D109" s="1" t="s">
        <v>843</v>
      </c>
      <c r="G109" s="33">
        <v>13</v>
      </c>
      <c r="H109" s="29">
        <v>4</v>
      </c>
      <c r="I109" s="38" t="s">
        <v>103</v>
      </c>
      <c r="J109" s="38">
        <v>114</v>
      </c>
      <c r="K109" s="38">
        <v>127</v>
      </c>
      <c r="L109" s="41">
        <v>137</v>
      </c>
      <c r="N109" s="27">
        <v>81</v>
      </c>
      <c r="O109" s="45" t="s">
        <v>169</v>
      </c>
      <c r="P109" s="46"/>
      <c r="Q109" s="44"/>
      <c r="R109" s="45"/>
      <c r="S109" s="46"/>
      <c r="T109" s="44"/>
      <c r="U109" s="45"/>
      <c r="V109" s="46"/>
      <c r="W109" s="44"/>
    </row>
    <row r="110" spans="4:23" ht="12.75">
      <c r="D110" s="1">
        <v>1</v>
      </c>
      <c r="E110" s="1" t="s">
        <v>844</v>
      </c>
      <c r="G110" s="33">
        <v>19</v>
      </c>
      <c r="H110" s="29">
        <v>5</v>
      </c>
      <c r="I110" s="38" t="s">
        <v>104</v>
      </c>
      <c r="J110" s="38">
        <v>119</v>
      </c>
      <c r="K110" s="38">
        <v>132</v>
      </c>
      <c r="L110" s="41">
        <v>145</v>
      </c>
      <c r="N110" s="27">
        <v>97</v>
      </c>
      <c r="O110" s="45" t="s">
        <v>171</v>
      </c>
      <c r="P110" s="46"/>
      <c r="Q110" s="44"/>
      <c r="R110" s="45"/>
      <c r="S110" s="46"/>
      <c r="T110" s="44"/>
      <c r="U110" s="45"/>
      <c r="V110" s="46"/>
      <c r="W110" s="44"/>
    </row>
    <row r="111" spans="4:23" ht="12.75">
      <c r="D111" s="1">
        <v>51</v>
      </c>
      <c r="E111" s="1" t="s">
        <v>845</v>
      </c>
      <c r="G111" s="33">
        <v>22</v>
      </c>
      <c r="H111" s="29">
        <v>6</v>
      </c>
      <c r="I111" s="38" t="s">
        <v>105</v>
      </c>
      <c r="J111" s="38">
        <v>124</v>
      </c>
      <c r="K111" s="38">
        <v>137</v>
      </c>
      <c r="L111" s="41">
        <v>149</v>
      </c>
      <c r="N111" s="27">
        <v>99</v>
      </c>
      <c r="O111" s="45" t="s">
        <v>172</v>
      </c>
      <c r="P111" s="46"/>
      <c r="Q111" s="44"/>
      <c r="R111" s="45"/>
      <c r="S111" s="46"/>
      <c r="T111" s="44"/>
      <c r="U111" s="45"/>
      <c r="V111" s="46"/>
      <c r="W111" s="44"/>
    </row>
    <row r="112" spans="7:23" ht="12.75">
      <c r="G112" s="33">
        <v>25</v>
      </c>
      <c r="H112" s="29">
        <v>7</v>
      </c>
      <c r="I112" s="38" t="s">
        <v>106</v>
      </c>
      <c r="J112" s="38">
        <v>128</v>
      </c>
      <c r="K112" s="38">
        <v>141</v>
      </c>
      <c r="L112" s="41">
        <v>154</v>
      </c>
      <c r="N112" s="27"/>
      <c r="O112" s="45"/>
      <c r="P112" s="46"/>
      <c r="Q112" s="44"/>
      <c r="R112" s="45"/>
      <c r="S112" s="46"/>
      <c r="T112" s="44"/>
      <c r="U112" s="45"/>
      <c r="V112" s="46"/>
      <c r="W112" s="44"/>
    </row>
    <row r="113" spans="7:23" ht="12.75">
      <c r="G113" s="33">
        <v>29</v>
      </c>
      <c r="H113" s="29">
        <v>8</v>
      </c>
      <c r="I113" s="38" t="s">
        <v>107</v>
      </c>
      <c r="J113" s="38">
        <v>132</v>
      </c>
      <c r="K113" s="38">
        <v>146</v>
      </c>
      <c r="L113" s="41">
        <v>159</v>
      </c>
      <c r="N113" s="27"/>
      <c r="O113" s="27" t="s">
        <v>173</v>
      </c>
      <c r="P113" s="46"/>
      <c r="Q113" s="44"/>
      <c r="R113" s="45"/>
      <c r="S113" s="46"/>
      <c r="T113" s="44"/>
      <c r="U113" s="45"/>
      <c r="V113" s="46"/>
      <c r="W113" s="44"/>
    </row>
    <row r="114" spans="5:23" ht="12.75">
      <c r="E114" s="14" t="s">
        <v>179</v>
      </c>
      <c r="G114" s="33">
        <v>31</v>
      </c>
      <c r="H114" s="29">
        <v>9</v>
      </c>
      <c r="I114" s="38" t="s">
        <v>108</v>
      </c>
      <c r="J114" s="38">
        <v>136</v>
      </c>
      <c r="K114" s="38">
        <v>150</v>
      </c>
      <c r="L114" s="41">
        <v>163</v>
      </c>
      <c r="N114" s="27">
        <v>1</v>
      </c>
      <c r="O114" s="45" t="s">
        <v>170</v>
      </c>
      <c r="P114" s="46"/>
      <c r="Q114" s="44"/>
      <c r="R114" s="45"/>
      <c r="S114" s="46"/>
      <c r="T114" s="44"/>
      <c r="U114" s="45"/>
      <c r="V114" s="46"/>
      <c r="W114" s="44"/>
    </row>
    <row r="115" spans="4:23" ht="12.75">
      <c r="D115" s="1">
        <v>1</v>
      </c>
      <c r="E115" s="14" t="s">
        <v>180</v>
      </c>
      <c r="G115" s="33">
        <v>34</v>
      </c>
      <c r="H115" s="29">
        <v>10</v>
      </c>
      <c r="I115" s="38" t="s">
        <v>109</v>
      </c>
      <c r="J115" s="38">
        <v>139</v>
      </c>
      <c r="K115" s="38">
        <v>153</v>
      </c>
      <c r="L115" s="41">
        <v>168</v>
      </c>
      <c r="N115" s="27">
        <v>31</v>
      </c>
      <c r="O115" s="45" t="s">
        <v>168</v>
      </c>
      <c r="P115" s="46"/>
      <c r="Q115" s="44"/>
      <c r="R115" s="45"/>
      <c r="S115" s="46"/>
      <c r="T115" s="44"/>
      <c r="U115" s="45"/>
      <c r="V115" s="46"/>
      <c r="W115" s="44"/>
    </row>
    <row r="116" spans="4:23" ht="12.75">
      <c r="D116" s="1">
        <v>11</v>
      </c>
      <c r="E116" s="14" t="s">
        <v>181</v>
      </c>
      <c r="G116" s="33">
        <v>37</v>
      </c>
      <c r="H116" s="29">
        <v>11</v>
      </c>
      <c r="I116" s="38" t="s">
        <v>110</v>
      </c>
      <c r="J116" s="38">
        <v>146</v>
      </c>
      <c r="K116" s="38">
        <v>161</v>
      </c>
      <c r="L116" s="41">
        <v>173</v>
      </c>
      <c r="N116" s="27">
        <v>61</v>
      </c>
      <c r="O116" s="45" t="s">
        <v>174</v>
      </c>
      <c r="P116" s="46"/>
      <c r="Q116" s="44"/>
      <c r="R116" s="45"/>
      <c r="S116" s="46"/>
      <c r="T116" s="44"/>
      <c r="U116" s="45"/>
      <c r="V116" s="46"/>
      <c r="W116" s="44"/>
    </row>
    <row r="117" spans="4:23" ht="12.75">
      <c r="D117" s="1">
        <v>21</v>
      </c>
      <c r="E117" s="14" t="s">
        <v>182</v>
      </c>
      <c r="G117" s="33">
        <v>40</v>
      </c>
      <c r="H117" s="29">
        <v>12</v>
      </c>
      <c r="I117" s="38" t="s">
        <v>111</v>
      </c>
      <c r="J117" s="38">
        <v>150</v>
      </c>
      <c r="K117" s="38">
        <v>165</v>
      </c>
      <c r="L117" s="41">
        <v>177</v>
      </c>
      <c r="N117" s="27">
        <v>71</v>
      </c>
      <c r="O117" s="45" t="s">
        <v>175</v>
      </c>
      <c r="P117" s="46"/>
      <c r="Q117" s="44"/>
      <c r="R117" s="45"/>
      <c r="S117" s="46"/>
      <c r="T117" s="44"/>
      <c r="U117" s="45"/>
      <c r="V117" s="46"/>
      <c r="W117" s="44"/>
    </row>
    <row r="118" spans="4:23" ht="12.75">
      <c r="D118" s="1">
        <v>31</v>
      </c>
      <c r="E118" s="14" t="s">
        <v>183</v>
      </c>
      <c r="G118" s="33">
        <v>46</v>
      </c>
      <c r="H118" s="29">
        <v>13</v>
      </c>
      <c r="I118" s="38" t="s">
        <v>112</v>
      </c>
      <c r="J118" s="38">
        <v>155</v>
      </c>
      <c r="K118" s="38">
        <v>172</v>
      </c>
      <c r="L118" s="41">
        <v>183</v>
      </c>
      <c r="N118" s="27">
        <v>75</v>
      </c>
      <c r="O118" s="45" t="s">
        <v>169</v>
      </c>
      <c r="P118" s="46"/>
      <c r="Q118" s="44"/>
      <c r="R118" s="45"/>
      <c r="S118" s="46"/>
      <c r="T118" s="44"/>
      <c r="U118" s="45"/>
      <c r="V118" s="46"/>
      <c r="W118" s="44"/>
    </row>
    <row r="119" spans="4:23" ht="12.75">
      <c r="D119" s="1">
        <v>36</v>
      </c>
      <c r="E119" s="14" t="s">
        <v>184</v>
      </c>
      <c r="G119" s="33">
        <v>50</v>
      </c>
      <c r="H119" s="29">
        <v>14</v>
      </c>
      <c r="I119" s="38" t="s">
        <v>113</v>
      </c>
      <c r="J119" s="38">
        <v>159</v>
      </c>
      <c r="K119" s="38">
        <v>175</v>
      </c>
      <c r="L119" s="41">
        <v>188</v>
      </c>
      <c r="N119" s="27">
        <v>89</v>
      </c>
      <c r="O119" s="45" t="s">
        <v>176</v>
      </c>
      <c r="P119" s="46"/>
      <c r="Q119" s="44"/>
      <c r="R119" s="45"/>
      <c r="S119" s="46"/>
      <c r="T119" s="44"/>
      <c r="U119" s="45"/>
      <c r="V119" s="46"/>
      <c r="W119" s="44"/>
    </row>
    <row r="120" spans="4:23" ht="12.75">
      <c r="D120" s="1">
        <v>51</v>
      </c>
      <c r="E120" s="14" t="s">
        <v>185</v>
      </c>
      <c r="G120" s="33">
        <v>55</v>
      </c>
      <c r="H120" s="29">
        <v>15</v>
      </c>
      <c r="I120" s="38" t="s">
        <v>114</v>
      </c>
      <c r="J120" s="38">
        <v>163</v>
      </c>
      <c r="K120" s="38">
        <v>182</v>
      </c>
      <c r="L120" s="41">
        <v>195</v>
      </c>
      <c r="N120" s="27">
        <v>96</v>
      </c>
      <c r="O120" s="45" t="s">
        <v>172</v>
      </c>
      <c r="P120" s="46"/>
      <c r="Q120" s="44"/>
      <c r="R120" s="45"/>
      <c r="S120" s="46"/>
      <c r="T120" s="44"/>
      <c r="U120" s="45"/>
      <c r="V120" s="46"/>
      <c r="W120" s="44"/>
    </row>
    <row r="121" spans="4:23" ht="12.75">
      <c r="D121" s="1">
        <v>61</v>
      </c>
      <c r="E121" s="14" t="s">
        <v>1147</v>
      </c>
      <c r="G121" s="33">
        <v>59</v>
      </c>
      <c r="H121" s="29">
        <v>16</v>
      </c>
      <c r="I121" s="38" t="s">
        <v>115</v>
      </c>
      <c r="J121" s="38">
        <v>167</v>
      </c>
      <c r="K121" s="38">
        <v>186</v>
      </c>
      <c r="L121" s="41">
        <v>199</v>
      </c>
      <c r="P121" s="46"/>
      <c r="Q121" s="44"/>
      <c r="R121" s="45"/>
      <c r="S121" s="46"/>
      <c r="T121" s="44"/>
      <c r="U121" s="45"/>
      <c r="V121" s="46"/>
      <c r="W121" s="44"/>
    </row>
    <row r="122" spans="4:23" ht="12.75">
      <c r="D122" s="1">
        <v>66</v>
      </c>
      <c r="E122" s="14" t="s">
        <v>186</v>
      </c>
      <c r="G122" s="33">
        <v>63</v>
      </c>
      <c r="H122" s="29">
        <v>17</v>
      </c>
      <c r="I122" s="38" t="s">
        <v>116</v>
      </c>
      <c r="J122" s="38">
        <v>171</v>
      </c>
      <c r="K122" s="38">
        <v>190</v>
      </c>
      <c r="L122" s="41">
        <v>203</v>
      </c>
      <c r="N122" s="27"/>
      <c r="O122" s="27" t="s">
        <v>177</v>
      </c>
      <c r="P122" s="46"/>
      <c r="Q122" s="44"/>
      <c r="R122" s="45"/>
      <c r="S122" s="46"/>
      <c r="T122" s="44"/>
      <c r="U122" s="45"/>
      <c r="V122" s="46"/>
      <c r="W122" s="44"/>
    </row>
    <row r="123" spans="4:23" ht="12.75">
      <c r="D123" s="1">
        <v>77</v>
      </c>
      <c r="E123" s="14" t="s">
        <v>187</v>
      </c>
      <c r="G123" s="33">
        <v>67</v>
      </c>
      <c r="H123" s="29">
        <v>18</v>
      </c>
      <c r="I123" s="38" t="s">
        <v>117</v>
      </c>
      <c r="J123" s="38">
        <v>176</v>
      </c>
      <c r="K123" s="38">
        <v>194</v>
      </c>
      <c r="L123" s="41">
        <v>208</v>
      </c>
      <c r="N123" s="27">
        <v>1</v>
      </c>
      <c r="O123" s="45">
        <v>15</v>
      </c>
      <c r="P123" s="46"/>
      <c r="Q123" s="44"/>
      <c r="R123" s="45"/>
      <c r="S123" s="46"/>
      <c r="T123" s="44"/>
      <c r="U123" s="45"/>
      <c r="V123" s="46"/>
      <c r="W123" s="44"/>
    </row>
    <row r="124" spans="4:23" ht="12.75">
      <c r="D124" s="1">
        <v>88</v>
      </c>
      <c r="E124" s="14" t="s">
        <v>188</v>
      </c>
      <c r="G124" s="33">
        <v>72</v>
      </c>
      <c r="H124" s="29">
        <v>19</v>
      </c>
      <c r="I124" s="38" t="s">
        <v>118</v>
      </c>
      <c r="J124" s="38">
        <v>181</v>
      </c>
      <c r="K124" s="38">
        <v>200</v>
      </c>
      <c r="L124" s="41">
        <v>213</v>
      </c>
      <c r="N124" s="27">
        <v>2</v>
      </c>
      <c r="O124" s="45">
        <f>O123+1</f>
        <v>16</v>
      </c>
      <c r="P124" s="46"/>
      <c r="Q124" s="44"/>
      <c r="R124" s="45"/>
      <c r="S124" s="46"/>
      <c r="T124" s="44"/>
      <c r="U124" s="45"/>
      <c r="V124" s="46"/>
      <c r="W124" s="44"/>
    </row>
    <row r="125" spans="4:23" ht="12.75">
      <c r="D125" s="1">
        <v>99</v>
      </c>
      <c r="E125" s="14" t="s">
        <v>189</v>
      </c>
      <c r="G125" s="33">
        <v>76</v>
      </c>
      <c r="H125" s="29">
        <v>20</v>
      </c>
      <c r="I125" s="38" t="s">
        <v>119</v>
      </c>
      <c r="J125" s="38">
        <v>184</v>
      </c>
      <c r="K125" s="38">
        <v>204</v>
      </c>
      <c r="L125" s="41">
        <v>218</v>
      </c>
      <c r="N125" s="27">
        <v>3</v>
      </c>
      <c r="O125" s="45">
        <f aca="true" t="shared" si="4" ref="O125:O158">O124+1</f>
        <v>17</v>
      </c>
      <c r="P125" s="46"/>
      <c r="Q125" s="44"/>
      <c r="R125" s="45"/>
      <c r="S125" s="46"/>
      <c r="T125" s="44"/>
      <c r="U125" s="45"/>
      <c r="V125" s="46"/>
      <c r="W125" s="44"/>
    </row>
    <row r="126" spans="5:23" ht="12.75">
      <c r="E126" s="14"/>
      <c r="G126" s="33">
        <v>80</v>
      </c>
      <c r="H126" s="29">
        <v>21</v>
      </c>
      <c r="I126" s="38" t="s">
        <v>120</v>
      </c>
      <c r="J126" s="38">
        <v>187</v>
      </c>
      <c r="K126" s="38">
        <v>209</v>
      </c>
      <c r="L126" s="41">
        <v>224</v>
      </c>
      <c r="N126" s="27">
        <v>5</v>
      </c>
      <c r="O126" s="45">
        <f t="shared" si="4"/>
        <v>18</v>
      </c>
      <c r="P126" s="46"/>
      <c r="Q126" s="44"/>
      <c r="R126" s="45"/>
      <c r="S126" s="46"/>
      <c r="T126" s="44"/>
      <c r="U126" s="45"/>
      <c r="V126" s="46"/>
      <c r="W126" s="44"/>
    </row>
    <row r="127" spans="5:23" ht="12.75">
      <c r="E127" s="14" t="s">
        <v>205</v>
      </c>
      <c r="G127" s="33">
        <v>84</v>
      </c>
      <c r="H127" s="29">
        <v>22</v>
      </c>
      <c r="I127" s="38" t="s">
        <v>121</v>
      </c>
      <c r="J127" s="38">
        <v>192</v>
      </c>
      <c r="K127" s="38">
        <v>215</v>
      </c>
      <c r="L127" s="41">
        <v>233</v>
      </c>
      <c r="N127" s="27">
        <v>10</v>
      </c>
      <c r="O127" s="45">
        <f t="shared" si="4"/>
        <v>19</v>
      </c>
      <c r="P127" s="46"/>
      <c r="Q127" s="44"/>
      <c r="R127" s="45"/>
      <c r="S127" s="46"/>
      <c r="T127" s="44"/>
      <c r="U127" s="45"/>
      <c r="V127" s="46"/>
      <c r="W127" s="44"/>
    </row>
    <row r="128" spans="4:23" ht="12.75">
      <c r="D128" s="1">
        <v>1</v>
      </c>
      <c r="E128" s="14" t="s">
        <v>206</v>
      </c>
      <c r="G128" s="33">
        <v>89</v>
      </c>
      <c r="H128" s="29">
        <v>23</v>
      </c>
      <c r="I128" s="38" t="s">
        <v>122</v>
      </c>
      <c r="J128" s="38">
        <v>199</v>
      </c>
      <c r="K128" s="38">
        <v>221</v>
      </c>
      <c r="L128" s="41">
        <v>241</v>
      </c>
      <c r="N128" s="27">
        <v>15</v>
      </c>
      <c r="O128" s="45">
        <f t="shared" si="4"/>
        <v>20</v>
      </c>
      <c r="P128" s="46"/>
      <c r="Q128" s="44"/>
      <c r="R128" s="45"/>
      <c r="S128" s="46"/>
      <c r="T128" s="44"/>
      <c r="U128" s="45"/>
      <c r="V128" s="46"/>
      <c r="W128" s="44"/>
    </row>
    <row r="129" spans="4:23" ht="12.75">
      <c r="D129" s="1">
        <v>14</v>
      </c>
      <c r="E129" s="14" t="s">
        <v>207</v>
      </c>
      <c r="G129" s="33">
        <v>93</v>
      </c>
      <c r="H129" s="29">
        <v>24</v>
      </c>
      <c r="I129" s="38" t="s">
        <v>123</v>
      </c>
      <c r="J129" s="38">
        <v>206</v>
      </c>
      <c r="K129" s="38">
        <v>230</v>
      </c>
      <c r="L129" s="41">
        <v>252</v>
      </c>
      <c r="N129" s="27">
        <v>20</v>
      </c>
      <c r="O129" s="45">
        <f t="shared" si="4"/>
        <v>21</v>
      </c>
      <c r="P129" s="46"/>
      <c r="Q129" s="44"/>
      <c r="R129" s="45"/>
      <c r="S129" s="46"/>
      <c r="T129" s="44"/>
      <c r="U129" s="45"/>
      <c r="V129" s="46"/>
      <c r="W129" s="44"/>
    </row>
    <row r="130" spans="4:23" ht="12.75">
      <c r="D130" s="1">
        <v>19</v>
      </c>
      <c r="E130" s="14" t="s">
        <v>208</v>
      </c>
      <c r="G130" s="34">
        <v>97</v>
      </c>
      <c r="H130" s="35">
        <v>25</v>
      </c>
      <c r="I130" s="42" t="s">
        <v>124</v>
      </c>
      <c r="J130" s="42">
        <v>215</v>
      </c>
      <c r="K130" s="42">
        <v>238</v>
      </c>
      <c r="L130" s="43">
        <v>261</v>
      </c>
      <c r="N130" s="27">
        <v>25</v>
      </c>
      <c r="O130" s="45">
        <f t="shared" si="4"/>
        <v>22</v>
      </c>
      <c r="P130" s="46"/>
      <c r="Q130" s="44"/>
      <c r="R130" s="45"/>
      <c r="S130" s="46"/>
      <c r="T130" s="44"/>
      <c r="U130" s="45"/>
      <c r="V130" s="46"/>
      <c r="W130" s="44"/>
    </row>
    <row r="131" spans="4:15" ht="12.75">
      <c r="D131" s="1">
        <v>44</v>
      </c>
      <c r="E131" s="14" t="s">
        <v>209</v>
      </c>
      <c r="N131" s="27">
        <v>30</v>
      </c>
      <c r="O131" s="45">
        <f t="shared" si="4"/>
        <v>23</v>
      </c>
    </row>
    <row r="132" spans="4:15" ht="12.75">
      <c r="D132" s="1">
        <v>69</v>
      </c>
      <c r="E132" s="14" t="s">
        <v>210</v>
      </c>
      <c r="N132" s="27">
        <v>35</v>
      </c>
      <c r="O132" s="45">
        <f t="shared" si="4"/>
        <v>24</v>
      </c>
    </row>
    <row r="133" spans="4:15" ht="12.75">
      <c r="D133" s="1">
        <v>82</v>
      </c>
      <c r="E133" s="14" t="s">
        <v>211</v>
      </c>
      <c r="N133" s="27">
        <v>40</v>
      </c>
      <c r="O133" s="45">
        <f t="shared" si="4"/>
        <v>25</v>
      </c>
    </row>
    <row r="134" spans="4:15" ht="12.75">
      <c r="D134" s="1">
        <v>95</v>
      </c>
      <c r="E134" s="14" t="s">
        <v>212</v>
      </c>
      <c r="N134" s="27">
        <v>47</v>
      </c>
      <c r="O134" s="45">
        <f t="shared" si="4"/>
        <v>26</v>
      </c>
    </row>
    <row r="135" spans="5:15" ht="12.75">
      <c r="E135" s="14"/>
      <c r="N135" s="27">
        <v>53</v>
      </c>
      <c r="O135" s="45">
        <f t="shared" si="4"/>
        <v>27</v>
      </c>
    </row>
    <row r="136" spans="5:15" ht="12.75">
      <c r="E136" s="14" t="s">
        <v>213</v>
      </c>
      <c r="N136" s="27">
        <v>59</v>
      </c>
      <c r="O136" s="45">
        <f t="shared" si="4"/>
        <v>28</v>
      </c>
    </row>
    <row r="137" spans="4:15" ht="12.75">
      <c r="D137" s="1">
        <v>1</v>
      </c>
      <c r="E137" s="14" t="s">
        <v>214</v>
      </c>
      <c r="N137" s="27">
        <v>63</v>
      </c>
      <c r="O137" s="45">
        <f t="shared" si="4"/>
        <v>29</v>
      </c>
    </row>
    <row r="138" spans="4:15" ht="12.75">
      <c r="D138" s="1">
        <v>51</v>
      </c>
      <c r="E138" s="14" t="s">
        <v>215</v>
      </c>
      <c r="N138" s="27">
        <v>67</v>
      </c>
      <c r="O138" s="45">
        <f t="shared" si="4"/>
        <v>30</v>
      </c>
    </row>
    <row r="139" spans="4:15" ht="12.75">
      <c r="D139" s="1">
        <v>91</v>
      </c>
      <c r="E139" s="14" t="s">
        <v>216</v>
      </c>
      <c r="N139" s="27">
        <v>70</v>
      </c>
      <c r="O139" s="45">
        <f t="shared" si="4"/>
        <v>31</v>
      </c>
    </row>
    <row r="140" spans="5:15" ht="12.75">
      <c r="E140" s="14"/>
      <c r="N140" s="27">
        <v>73</v>
      </c>
      <c r="O140" s="45">
        <f t="shared" si="4"/>
        <v>32</v>
      </c>
    </row>
    <row r="141" spans="5:15" ht="12.75">
      <c r="E141" s="14" t="s">
        <v>217</v>
      </c>
      <c r="N141" s="27">
        <v>76</v>
      </c>
      <c r="O141" s="45">
        <f t="shared" si="4"/>
        <v>33</v>
      </c>
    </row>
    <row r="142" spans="4:15" ht="12.75">
      <c r="D142" s="1">
        <v>1</v>
      </c>
      <c r="E142" s="14" t="s">
        <v>218</v>
      </c>
      <c r="N142" s="27">
        <v>78</v>
      </c>
      <c r="O142" s="45">
        <f t="shared" si="4"/>
        <v>34</v>
      </c>
    </row>
    <row r="143" spans="4:15" ht="12.75">
      <c r="D143" s="1">
        <v>41</v>
      </c>
      <c r="E143" s="14" t="s">
        <v>219</v>
      </c>
      <c r="N143" s="27">
        <v>80</v>
      </c>
      <c r="O143" s="45">
        <f t="shared" si="4"/>
        <v>35</v>
      </c>
    </row>
    <row r="144" spans="4:15" ht="12.75">
      <c r="D144" s="1">
        <v>61</v>
      </c>
      <c r="E144" s="14" t="s">
        <v>220</v>
      </c>
      <c r="N144" s="27">
        <v>81</v>
      </c>
      <c r="O144" s="45">
        <f t="shared" si="4"/>
        <v>36</v>
      </c>
    </row>
    <row r="145" spans="4:15" ht="12.75">
      <c r="D145" s="1">
        <v>91</v>
      </c>
      <c r="E145" s="14" t="s">
        <v>221</v>
      </c>
      <c r="N145" s="27">
        <v>82</v>
      </c>
      <c r="O145" s="45">
        <f t="shared" si="4"/>
        <v>37</v>
      </c>
    </row>
    <row r="146" spans="14:15" ht="12.75">
      <c r="N146" s="27">
        <v>83</v>
      </c>
      <c r="O146" s="45">
        <f t="shared" si="4"/>
        <v>38</v>
      </c>
    </row>
    <row r="147" spans="14:15" ht="12.75">
      <c r="N147" s="27">
        <v>84</v>
      </c>
      <c r="O147" s="45">
        <f t="shared" si="4"/>
        <v>39</v>
      </c>
    </row>
    <row r="148" spans="14:15" ht="12.75">
      <c r="N148">
        <v>85</v>
      </c>
      <c r="O148" s="45">
        <f t="shared" si="4"/>
        <v>40</v>
      </c>
    </row>
    <row r="149" spans="14:15" ht="12.75">
      <c r="N149">
        <v>86</v>
      </c>
      <c r="O149" s="45">
        <f t="shared" si="4"/>
        <v>41</v>
      </c>
    </row>
    <row r="150" spans="14:15" ht="12.75">
      <c r="N150">
        <v>87</v>
      </c>
      <c r="O150" s="45">
        <f t="shared" si="4"/>
        <v>42</v>
      </c>
    </row>
    <row r="151" spans="14:15" ht="12.75">
      <c r="N151">
        <v>88</v>
      </c>
      <c r="O151" s="45">
        <f t="shared" si="4"/>
        <v>43</v>
      </c>
    </row>
    <row r="152" spans="14:15" ht="12.75">
      <c r="N152">
        <v>89</v>
      </c>
      <c r="O152" s="45">
        <f t="shared" si="4"/>
        <v>44</v>
      </c>
    </row>
    <row r="153" spans="14:15" ht="12.75">
      <c r="N153">
        <v>90</v>
      </c>
      <c r="O153" s="45">
        <f t="shared" si="4"/>
        <v>45</v>
      </c>
    </row>
    <row r="154" spans="14:15" ht="12.75">
      <c r="N154">
        <v>91</v>
      </c>
      <c r="O154" s="45">
        <f t="shared" si="4"/>
        <v>46</v>
      </c>
    </row>
    <row r="155" spans="14:15" ht="12.75">
      <c r="N155">
        <v>92</v>
      </c>
      <c r="O155" s="45">
        <f t="shared" si="4"/>
        <v>47</v>
      </c>
    </row>
    <row r="156" spans="14:15" ht="12.75">
      <c r="N156">
        <v>93</v>
      </c>
      <c r="O156" s="45">
        <f t="shared" si="4"/>
        <v>48</v>
      </c>
    </row>
    <row r="157" spans="14:15" ht="12.75">
      <c r="N157">
        <v>94</v>
      </c>
      <c r="O157" s="45">
        <f t="shared" si="4"/>
        <v>49</v>
      </c>
    </row>
    <row r="158" spans="14:15" ht="12.75">
      <c r="N158">
        <v>95</v>
      </c>
      <c r="O158" s="45">
        <f t="shared" si="4"/>
        <v>50</v>
      </c>
    </row>
    <row r="159" spans="14:15" ht="12.75">
      <c r="N159">
        <v>96</v>
      </c>
      <c r="O159" s="45">
        <f>O158+2</f>
        <v>52</v>
      </c>
    </row>
    <row r="160" spans="14:15" ht="12.75">
      <c r="N160">
        <v>97</v>
      </c>
      <c r="O160" s="45">
        <f>O159+2</f>
        <v>54</v>
      </c>
    </row>
    <row r="161" spans="14:15" ht="12.75">
      <c r="N161">
        <v>98</v>
      </c>
      <c r="O161" s="45">
        <f>O160+2</f>
        <v>56</v>
      </c>
    </row>
    <row r="162" spans="14:15" ht="12.75">
      <c r="N162">
        <v>99</v>
      </c>
      <c r="O162" s="45">
        <f>O161+2</f>
        <v>58</v>
      </c>
    </row>
    <row r="163" spans="14:15" ht="12.75">
      <c r="N163">
        <v>100</v>
      </c>
      <c r="O163" s="45">
        <f>O162+2</f>
        <v>60</v>
      </c>
    </row>
    <row r="164" ht="12.75">
      <c r="O164" s="45"/>
    </row>
    <row r="165" ht="12.75">
      <c r="O165" s="45"/>
    </row>
    <row r="166" ht="12.75">
      <c r="O166" s="45"/>
    </row>
    <row r="167" ht="12.75">
      <c r="O167" s="45"/>
    </row>
    <row r="168" ht="12.75">
      <c r="O168" s="45"/>
    </row>
    <row r="169" ht="12.75">
      <c r="O169" s="45"/>
    </row>
    <row r="170" ht="12.75">
      <c r="O170" s="45"/>
    </row>
    <row r="171" ht="12.75">
      <c r="O171" s="45"/>
    </row>
    <row r="172" ht="12.75">
      <c r="O172" s="45"/>
    </row>
    <row r="173" ht="12.75">
      <c r="O173" s="45"/>
    </row>
    <row r="174" ht="12.75">
      <c r="O174" s="45"/>
    </row>
    <row r="175" ht="12.75">
      <c r="O175" s="45"/>
    </row>
    <row r="176" ht="12.75">
      <c r="O176" s="45"/>
    </row>
    <row r="177" ht="12.75">
      <c r="O177" s="45"/>
    </row>
    <row r="178" ht="12.75">
      <c r="O178" s="45"/>
    </row>
    <row r="179" ht="12.75">
      <c r="O179" s="45"/>
    </row>
    <row r="180" ht="12.75">
      <c r="O180" s="45"/>
    </row>
    <row r="181" ht="12.75">
      <c r="O181" s="45"/>
    </row>
    <row r="182" ht="12.75">
      <c r="O182" s="45"/>
    </row>
    <row r="183" ht="12.75">
      <c r="O183" s="45"/>
    </row>
    <row r="184" ht="12.75">
      <c r="O184" s="45"/>
    </row>
    <row r="185" ht="12.75">
      <c r="O185" s="45"/>
    </row>
    <row r="186" ht="12.75">
      <c r="O186" s="45"/>
    </row>
    <row r="187" ht="12.75">
      <c r="O187" s="45"/>
    </row>
    <row r="188" ht="12.75">
      <c r="O188" s="45"/>
    </row>
    <row r="189" ht="12.75">
      <c r="O189" s="45"/>
    </row>
    <row r="190" ht="12.75">
      <c r="O190" s="45"/>
    </row>
    <row r="191" ht="12.75">
      <c r="O191" s="45"/>
    </row>
    <row r="192" ht="12.75">
      <c r="O192" s="45"/>
    </row>
    <row r="193" ht="12.75">
      <c r="O193" s="45"/>
    </row>
    <row r="194" ht="12.75">
      <c r="O194" s="45"/>
    </row>
    <row r="195" ht="12.75">
      <c r="O195" s="45"/>
    </row>
    <row r="196" ht="12.75">
      <c r="O196" s="45"/>
    </row>
    <row r="197" ht="12.75">
      <c r="O197" s="45"/>
    </row>
    <row r="198" ht="12.75">
      <c r="O198" s="45"/>
    </row>
    <row r="199" ht="12.75">
      <c r="O199" s="45"/>
    </row>
    <row r="200" ht="12.75">
      <c r="O200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J315"/>
  <sheetViews>
    <sheetView workbookViewId="0" topLeftCell="A1">
      <selection activeCell="A36" sqref="A36"/>
    </sheetView>
  </sheetViews>
  <sheetFormatPr defaultColWidth="9.140625" defaultRowHeight="12.75"/>
  <cols>
    <col min="1" max="1" width="6.7109375" style="24" customWidth="1"/>
    <col min="2" max="4" width="6.7109375" style="101" customWidth="1"/>
    <col min="5" max="5" width="21.00390625" style="24" customWidth="1"/>
    <col min="6" max="6" width="11.00390625" style="24" customWidth="1"/>
    <col min="7" max="7" width="58.7109375" style="24" customWidth="1"/>
    <col min="8" max="8" width="8.57421875" style="24" customWidth="1"/>
    <col min="9" max="9" width="9.00390625" style="123" customWidth="1"/>
    <col min="10" max="12" width="7.7109375" style="24" customWidth="1"/>
    <col min="13" max="25" width="6.7109375" style="24" customWidth="1"/>
    <col min="26" max="26" width="7.28125" style="24" customWidth="1"/>
    <col min="27" max="16384" width="6.7109375" style="24" customWidth="1"/>
  </cols>
  <sheetData>
    <row r="1" spans="3:35" ht="12.75">
      <c r="C1" s="101" t="s">
        <v>968</v>
      </c>
      <c r="I1" s="123" t="s">
        <v>1033</v>
      </c>
      <c r="O1" s="24" t="s">
        <v>36</v>
      </c>
      <c r="Q1" s="24" t="s">
        <v>398</v>
      </c>
      <c r="S1" s="24" t="s">
        <v>936</v>
      </c>
      <c r="U1" s="24" t="s">
        <v>429</v>
      </c>
      <c r="W1" s="24" t="s">
        <v>450</v>
      </c>
      <c r="Y1" s="24" t="s">
        <v>1073</v>
      </c>
      <c r="AA1" s="24" t="s">
        <v>1075</v>
      </c>
      <c r="AC1" s="24" t="s">
        <v>490</v>
      </c>
      <c r="AE1" s="24" t="s">
        <v>536</v>
      </c>
      <c r="AG1" s="24" t="s">
        <v>544</v>
      </c>
      <c r="AI1" s="24" t="s">
        <v>1129</v>
      </c>
    </row>
    <row r="2" spans="2:36" ht="12.75">
      <c r="B2" s="101">
        <v>1</v>
      </c>
      <c r="C2" s="101">
        <v>1</v>
      </c>
      <c r="D2" s="101" t="s">
        <v>65</v>
      </c>
      <c r="E2" s="24" t="s">
        <v>932</v>
      </c>
      <c r="I2" s="123">
        <v>237</v>
      </c>
      <c r="J2" s="101">
        <f aca="true" t="shared" si="0" ref="J2:J34">VLOOKUP(I2,$C$53:$E$315,2)</f>
        <v>48</v>
      </c>
      <c r="K2" s="24" t="str">
        <f>VLOOKUP(I2,$C$53:$E$315,3)</f>
        <v>Energy vampirism</v>
      </c>
      <c r="M2" s="24">
        <v>1</v>
      </c>
      <c r="O2" s="101">
        <v>1</v>
      </c>
      <c r="P2" s="123" t="s">
        <v>38</v>
      </c>
      <c r="Q2" s="101">
        <v>1</v>
      </c>
      <c r="R2" s="123" t="s">
        <v>399</v>
      </c>
      <c r="S2" s="101">
        <v>1</v>
      </c>
      <c r="T2" s="24" t="s">
        <v>419</v>
      </c>
      <c r="U2" s="24">
        <v>1</v>
      </c>
      <c r="V2" s="24" t="s">
        <v>431</v>
      </c>
      <c r="W2" s="24">
        <v>1</v>
      </c>
      <c r="X2" s="24" t="s">
        <v>451</v>
      </c>
      <c r="Y2" s="24">
        <v>1</v>
      </c>
      <c r="Z2" s="24" t="s">
        <v>468</v>
      </c>
      <c r="AA2" s="24">
        <v>1</v>
      </c>
      <c r="AB2" s="24" t="s">
        <v>487</v>
      </c>
      <c r="AC2" s="24">
        <v>1</v>
      </c>
      <c r="AD2" s="24" t="s">
        <v>491</v>
      </c>
      <c r="AE2" s="24">
        <v>1</v>
      </c>
      <c r="AF2" s="24" t="s">
        <v>537</v>
      </c>
      <c r="AG2" s="24">
        <v>1</v>
      </c>
      <c r="AH2" s="24" t="s">
        <v>541</v>
      </c>
      <c r="AI2" s="24">
        <v>1</v>
      </c>
      <c r="AJ2" s="24" t="s">
        <v>548</v>
      </c>
    </row>
    <row r="3" spans="2:36" ht="12.75">
      <c r="B3" s="101">
        <v>6</v>
      </c>
      <c r="C3" s="101">
        <v>2</v>
      </c>
      <c r="D3" s="101" t="s">
        <v>66</v>
      </c>
      <c r="E3" s="24" t="s">
        <v>932</v>
      </c>
      <c r="I3" s="123">
        <v>476</v>
      </c>
      <c r="J3" s="101">
        <f t="shared" si="0"/>
        <v>78</v>
      </c>
      <c r="K3" s="24" t="str">
        <f>VLOOKUP(I3,$C$53:$E$315,3)</f>
        <v>Weapons creation</v>
      </c>
      <c r="M3" s="24">
        <f>M2</f>
        <v>1</v>
      </c>
      <c r="O3" s="101">
        <v>15</v>
      </c>
      <c r="P3" s="123" t="s">
        <v>39</v>
      </c>
      <c r="Q3" s="101">
        <v>25</v>
      </c>
      <c r="R3" s="123" t="s">
        <v>400</v>
      </c>
      <c r="S3" s="101">
        <v>9</v>
      </c>
      <c r="T3" s="24" t="s">
        <v>420</v>
      </c>
      <c r="U3" s="24">
        <v>41</v>
      </c>
      <c r="V3" s="24" t="s">
        <v>430</v>
      </c>
      <c r="W3" s="24">
        <v>41</v>
      </c>
      <c r="X3" s="24" t="s">
        <v>452</v>
      </c>
      <c r="Y3" s="24">
        <v>21</v>
      </c>
      <c r="Z3" s="24" t="s">
        <v>469</v>
      </c>
      <c r="AA3" s="24">
        <v>31</v>
      </c>
      <c r="AB3" s="24" t="s">
        <v>488</v>
      </c>
      <c r="AC3" s="24">
        <v>21</v>
      </c>
      <c r="AD3" s="24" t="s">
        <v>492</v>
      </c>
      <c r="AE3" s="24">
        <v>41</v>
      </c>
      <c r="AF3" s="24" t="s">
        <v>538</v>
      </c>
      <c r="AG3" s="24">
        <v>21</v>
      </c>
      <c r="AH3" s="24" t="s">
        <v>542</v>
      </c>
      <c r="AI3" s="24">
        <v>36</v>
      </c>
      <c r="AJ3" s="24" t="s">
        <v>549</v>
      </c>
    </row>
    <row r="4" spans="2:36" ht="12.75">
      <c r="B4" s="101">
        <v>12</v>
      </c>
      <c r="C4" s="101">
        <v>3</v>
      </c>
      <c r="D4" s="101" t="s">
        <v>67</v>
      </c>
      <c r="E4" s="24" t="s">
        <v>933</v>
      </c>
      <c r="I4" s="123">
        <v>516</v>
      </c>
      <c r="J4" s="101">
        <f t="shared" si="0"/>
        <v>81</v>
      </c>
      <c r="K4" s="24" t="str">
        <f aca="true" t="shared" si="1" ref="K4:K14">VLOOKUP(I4,$C$53:$E$315,3)</f>
        <v>Illusion-casting</v>
      </c>
      <c r="M4" s="24">
        <f aca="true" t="shared" si="2" ref="M4:M51">M3</f>
        <v>1</v>
      </c>
      <c r="N4" s="101"/>
      <c r="O4" s="101">
        <v>23</v>
      </c>
      <c r="P4" s="123" t="s">
        <v>154</v>
      </c>
      <c r="Q4" s="101">
        <v>45</v>
      </c>
      <c r="R4" s="123" t="s">
        <v>401</v>
      </c>
      <c r="S4" s="101">
        <v>21</v>
      </c>
      <c r="T4" s="123" t="s">
        <v>428</v>
      </c>
      <c r="U4" s="124">
        <v>71</v>
      </c>
      <c r="V4" s="123" t="s">
        <v>432</v>
      </c>
      <c r="W4" s="124">
        <v>66</v>
      </c>
      <c r="X4" s="123" t="s">
        <v>453</v>
      </c>
      <c r="Y4" s="24">
        <v>41</v>
      </c>
      <c r="Z4" s="24" t="s">
        <v>470</v>
      </c>
      <c r="AA4" s="24">
        <v>61</v>
      </c>
      <c r="AB4" s="24" t="s">
        <v>489</v>
      </c>
      <c r="AC4" s="24">
        <v>51</v>
      </c>
      <c r="AD4" s="24" t="s">
        <v>493</v>
      </c>
      <c r="AE4" s="24">
        <v>71</v>
      </c>
      <c r="AF4" s="24" t="s">
        <v>539</v>
      </c>
      <c r="AG4" s="24">
        <v>41</v>
      </c>
      <c r="AH4" s="24" t="s">
        <v>543</v>
      </c>
      <c r="AI4" s="24">
        <v>61</v>
      </c>
      <c r="AJ4" s="24" t="s">
        <v>550</v>
      </c>
    </row>
    <row r="5" spans="2:36" ht="12.75">
      <c r="B5" s="101">
        <v>17</v>
      </c>
      <c r="C5" s="101">
        <v>4</v>
      </c>
      <c r="D5" s="101" t="s">
        <v>68</v>
      </c>
      <c r="E5" s="24" t="s">
        <v>934</v>
      </c>
      <c r="I5" s="123">
        <v>601</v>
      </c>
      <c r="J5" s="101">
        <f t="shared" si="0"/>
        <v>84</v>
      </c>
      <c r="K5" s="24" t="str">
        <f t="shared" si="1"/>
        <v>Biophysical control</v>
      </c>
      <c r="L5" s="101"/>
      <c r="M5" s="24">
        <f t="shared" si="2"/>
        <v>1</v>
      </c>
      <c r="O5" s="101">
        <v>31</v>
      </c>
      <c r="P5" s="123" t="s">
        <v>40</v>
      </c>
      <c r="Q5" s="101">
        <v>49</v>
      </c>
      <c r="R5" s="123" t="s">
        <v>418</v>
      </c>
      <c r="S5" s="101">
        <v>29</v>
      </c>
      <c r="T5" s="24" t="s">
        <v>421</v>
      </c>
      <c r="W5" s="24">
        <v>76</v>
      </c>
      <c r="X5" s="24" t="s">
        <v>454</v>
      </c>
      <c r="AG5" s="24">
        <v>61</v>
      </c>
      <c r="AH5" s="24" t="s">
        <v>545</v>
      </c>
      <c r="AI5" s="24">
        <v>86</v>
      </c>
      <c r="AJ5" s="24" t="s">
        <v>551</v>
      </c>
    </row>
    <row r="6" spans="2:34" ht="12.75">
      <c r="B6" s="101">
        <v>25</v>
      </c>
      <c r="C6" s="101">
        <v>5</v>
      </c>
      <c r="D6" s="101" t="s">
        <v>912</v>
      </c>
      <c r="E6" s="24" t="s">
        <v>871</v>
      </c>
      <c r="I6" s="123">
        <v>615</v>
      </c>
      <c r="J6" s="101">
        <f t="shared" si="0"/>
        <v>85</v>
      </c>
      <c r="K6" s="24" t="str">
        <f t="shared" si="1"/>
        <v>Bio-vampirism</v>
      </c>
      <c r="M6" s="24">
        <f t="shared" si="2"/>
        <v>1</v>
      </c>
      <c r="O6" s="101">
        <v>39</v>
      </c>
      <c r="P6" s="123" t="s">
        <v>41</v>
      </c>
      <c r="Q6" s="101">
        <v>69</v>
      </c>
      <c r="R6" s="123" t="s">
        <v>402</v>
      </c>
      <c r="S6" s="101">
        <v>41</v>
      </c>
      <c r="T6" s="24" t="s">
        <v>422</v>
      </c>
      <c r="AG6" s="24">
        <v>81</v>
      </c>
      <c r="AH6" s="24" t="s">
        <v>546</v>
      </c>
    </row>
    <row r="7" spans="2:20" ht="12.75">
      <c r="B7" s="101">
        <v>30</v>
      </c>
      <c r="C7" s="101">
        <v>6</v>
      </c>
      <c r="D7" s="101" t="s">
        <v>917</v>
      </c>
      <c r="E7" s="24" t="s">
        <v>1010</v>
      </c>
      <c r="I7" s="123">
        <v>636</v>
      </c>
      <c r="J7" s="101">
        <f t="shared" si="0"/>
        <v>91</v>
      </c>
      <c r="K7" s="24" t="str">
        <f t="shared" si="1"/>
        <v>Grafting</v>
      </c>
      <c r="M7" s="24">
        <f t="shared" si="2"/>
        <v>1</v>
      </c>
      <c r="O7" s="101">
        <v>47</v>
      </c>
      <c r="P7" s="123" t="s">
        <v>42</v>
      </c>
      <c r="Q7" s="101">
        <v>77</v>
      </c>
      <c r="R7" s="123" t="s">
        <v>403</v>
      </c>
      <c r="S7" s="101">
        <v>53</v>
      </c>
      <c r="T7" s="24" t="s">
        <v>423</v>
      </c>
    </row>
    <row r="8" spans="2:20" ht="12.75">
      <c r="B8" s="101">
        <v>32</v>
      </c>
      <c r="C8" s="101">
        <v>7</v>
      </c>
      <c r="D8" s="101" t="s">
        <v>69</v>
      </c>
      <c r="E8" s="24" t="s">
        <v>935</v>
      </c>
      <c r="I8" s="123">
        <v>652</v>
      </c>
      <c r="J8" s="101">
        <f t="shared" si="0"/>
        <v>93</v>
      </c>
      <c r="K8" s="24" t="str">
        <f t="shared" si="1"/>
        <v>Mind control</v>
      </c>
      <c r="M8" s="24">
        <f t="shared" si="2"/>
        <v>1</v>
      </c>
      <c r="O8" s="101">
        <v>55</v>
      </c>
      <c r="P8" s="123" t="s">
        <v>43</v>
      </c>
      <c r="Q8" s="101">
        <v>93</v>
      </c>
      <c r="R8" s="123" t="s">
        <v>404</v>
      </c>
      <c r="S8" s="101">
        <v>61</v>
      </c>
      <c r="T8" s="24" t="s">
        <v>424</v>
      </c>
    </row>
    <row r="9" spans="2:20" ht="12.75">
      <c r="B9" s="101">
        <v>36</v>
      </c>
      <c r="C9" s="101">
        <v>8</v>
      </c>
      <c r="D9" s="101" t="s">
        <v>70</v>
      </c>
      <c r="E9" s="24" t="s">
        <v>936</v>
      </c>
      <c r="I9" s="123">
        <v>661</v>
      </c>
      <c r="J9" s="101">
        <f t="shared" si="0"/>
        <v>94</v>
      </c>
      <c r="K9" s="24" t="str">
        <f t="shared" si="1"/>
        <v>Mind transferral</v>
      </c>
      <c r="M9" s="24">
        <f t="shared" si="2"/>
        <v>1</v>
      </c>
      <c r="O9" s="101">
        <v>63</v>
      </c>
      <c r="P9" s="123" t="s">
        <v>44</v>
      </c>
      <c r="Q9" s="125" t="s">
        <v>51</v>
      </c>
      <c r="R9" s="24" t="e">
        <f>VLOOKUP('Character sheet'!$Z$39,Powers!$Q$2:$R$8,2)</f>
        <v>#N/A</v>
      </c>
      <c r="S9" s="101">
        <v>69</v>
      </c>
      <c r="T9" s="24" t="s">
        <v>425</v>
      </c>
    </row>
    <row r="10" spans="2:20" ht="12.75">
      <c r="B10" s="101">
        <v>41</v>
      </c>
      <c r="C10" s="101">
        <v>9</v>
      </c>
      <c r="D10" s="101" t="s">
        <v>71</v>
      </c>
      <c r="E10" s="24" t="s">
        <v>937</v>
      </c>
      <c r="I10" s="123">
        <v>681</v>
      </c>
      <c r="J10" s="101">
        <f t="shared" si="0"/>
        <v>100</v>
      </c>
      <c r="K10" s="24" t="str">
        <f t="shared" si="1"/>
        <v>Sapechange-others</v>
      </c>
      <c r="M10" s="24">
        <f t="shared" si="2"/>
        <v>1</v>
      </c>
      <c r="O10" s="101">
        <v>68</v>
      </c>
      <c r="P10" s="123" t="s">
        <v>45</v>
      </c>
      <c r="Q10" s="101"/>
      <c r="S10" s="101">
        <v>77</v>
      </c>
      <c r="T10" s="24" t="s">
        <v>426</v>
      </c>
    </row>
    <row r="11" spans="2:20" ht="12.75">
      <c r="B11" s="101">
        <v>48</v>
      </c>
      <c r="C11" s="101">
        <v>10</v>
      </c>
      <c r="D11" s="101" t="s">
        <v>73</v>
      </c>
      <c r="E11" s="24" t="s">
        <v>938</v>
      </c>
      <c r="I11" s="123">
        <v>701</v>
      </c>
      <c r="J11" s="101">
        <f t="shared" si="0"/>
        <v>105</v>
      </c>
      <c r="K11" s="24" t="str">
        <f t="shared" si="1"/>
        <v>Enchantment</v>
      </c>
      <c r="M11" s="24">
        <v>1</v>
      </c>
      <c r="O11" s="101">
        <v>71</v>
      </c>
      <c r="P11" s="123" t="s">
        <v>46</v>
      </c>
      <c r="Q11" s="101"/>
      <c r="S11" s="101">
        <v>85</v>
      </c>
      <c r="T11" s="24" t="s">
        <v>427</v>
      </c>
    </row>
    <row r="12" spans="2:17" ht="12.75">
      <c r="B12" s="101">
        <v>54</v>
      </c>
      <c r="C12" s="101">
        <v>11</v>
      </c>
      <c r="D12" s="101" t="s">
        <v>72</v>
      </c>
      <c r="E12" s="24" t="s">
        <v>939</v>
      </c>
      <c r="I12" s="123">
        <v>709</v>
      </c>
      <c r="J12" s="101">
        <f t="shared" si="0"/>
        <v>106</v>
      </c>
      <c r="K12" s="24" t="str">
        <f t="shared" si="1"/>
        <v>Energy source/magic</v>
      </c>
      <c r="M12" s="24">
        <v>-3</v>
      </c>
      <c r="O12" s="101">
        <v>74</v>
      </c>
      <c r="P12" s="123" t="s">
        <v>47</v>
      </c>
      <c r="Q12" s="101"/>
    </row>
    <row r="13" spans="2:36" ht="12.75">
      <c r="B13" s="101">
        <v>58</v>
      </c>
      <c r="C13" s="101">
        <v>12</v>
      </c>
      <c r="D13" s="101" t="s">
        <v>74</v>
      </c>
      <c r="E13" s="24" t="s">
        <v>940</v>
      </c>
      <c r="I13" s="123">
        <v>718</v>
      </c>
      <c r="J13" s="101">
        <f t="shared" si="0"/>
        <v>108</v>
      </c>
      <c r="K13" s="24" t="str">
        <f t="shared" si="1"/>
        <v>Magic control</v>
      </c>
      <c r="M13" s="24">
        <v>1</v>
      </c>
      <c r="O13" s="101">
        <v>77</v>
      </c>
      <c r="P13" s="123" t="s">
        <v>48</v>
      </c>
      <c r="Q13" s="101"/>
      <c r="S13" s="24" t="s">
        <v>51</v>
      </c>
      <c r="T13" s="24" t="e">
        <f>VLOOKUP('Character sheet'!$Z39,Powers!$S$2:$T$11,2)</f>
        <v>#N/A</v>
      </c>
      <c r="U13" s="24" t="s">
        <v>51</v>
      </c>
      <c r="V13" s="24" t="e">
        <f>VLOOKUP('Character sheet'!$Z$40,Powers!$U$2:$V$4,2)</f>
        <v>#N/A</v>
      </c>
      <c r="W13" s="24" t="s">
        <v>51</v>
      </c>
      <c r="X13" s="24" t="e">
        <f>VLOOKUP('Character sheet'!$Z$41,Powers!$W$2:$X$5,2)</f>
        <v>#N/A</v>
      </c>
      <c r="Y13" s="24" t="s">
        <v>51</v>
      </c>
      <c r="Z13" s="24" t="e">
        <f>VLOOKUP('Character sheet'!$Z$39,Powers!Y$2:Z$4,2)</f>
        <v>#N/A</v>
      </c>
      <c r="AA13" s="24" t="s">
        <v>51</v>
      </c>
      <c r="AB13" s="24" t="e">
        <f>VLOOKUP('Character sheet'!$Z$40,Powers!AA$2:AB$4,2)</f>
        <v>#N/A</v>
      </c>
      <c r="AC13" s="24" t="s">
        <v>51</v>
      </c>
      <c r="AD13" s="24" t="e">
        <f>VLOOKUP('Character sheet'!$Z$41,Powers!AC$2:AD$4,2)</f>
        <v>#N/A</v>
      </c>
      <c r="AE13" s="24" t="s">
        <v>51</v>
      </c>
      <c r="AF13" s="24" t="e">
        <f>VLOOKUP('Character sheet'!$Z$42,Powers!AE$2:AF$4,2)</f>
        <v>#N/A</v>
      </c>
      <c r="AG13" s="24" t="s">
        <v>51</v>
      </c>
      <c r="AH13" s="24" t="e">
        <f>VLOOKUP('Character sheet'!$Z$43,Powers!AG$2:AH$6,2)</f>
        <v>#N/A</v>
      </c>
      <c r="AI13" s="24" t="s">
        <v>51</v>
      </c>
      <c r="AJ13" s="24" t="e">
        <f>VLOOKUP('Character sheet'!$Z$44,Powers!AI$2:AJ$5,2)</f>
        <v>#N/A</v>
      </c>
    </row>
    <row r="14" spans="2:20" ht="12.75">
      <c r="B14" s="101">
        <v>72</v>
      </c>
      <c r="C14" s="101">
        <v>13</v>
      </c>
      <c r="D14" s="101" t="s">
        <v>918</v>
      </c>
      <c r="E14" s="24" t="s">
        <v>941</v>
      </c>
      <c r="I14" s="123">
        <v>726</v>
      </c>
      <c r="J14" s="101">
        <f t="shared" si="0"/>
        <v>109</v>
      </c>
      <c r="K14" s="24" t="str">
        <f t="shared" si="1"/>
        <v>Magic creation</v>
      </c>
      <c r="M14" s="24">
        <f t="shared" si="2"/>
        <v>1</v>
      </c>
      <c r="O14" s="101">
        <v>82</v>
      </c>
      <c r="P14" s="123" t="s">
        <v>49</v>
      </c>
      <c r="Q14" s="101"/>
      <c r="S14" s="24" t="s">
        <v>51</v>
      </c>
      <c r="T14" s="24" t="e">
        <f>VLOOKUP('Character sheet'!$Z40,Powers!$S$2:$T$11,2)</f>
        <v>#N/A</v>
      </c>
    </row>
    <row r="15" spans="2:20" ht="12.75">
      <c r="B15" s="101">
        <v>86</v>
      </c>
      <c r="C15" s="101">
        <v>14</v>
      </c>
      <c r="D15" s="101" t="s">
        <v>75</v>
      </c>
      <c r="E15" s="24" t="s">
        <v>942</v>
      </c>
      <c r="I15" s="123">
        <v>740</v>
      </c>
      <c r="J15" s="101">
        <f t="shared" si="0"/>
        <v>112</v>
      </c>
      <c r="K15" s="24" t="str">
        <f aca="true" t="shared" si="3" ref="K15:K29">VLOOKUP(I15,$C$53:$E$315,3)</f>
        <v>Magic vampirism</v>
      </c>
      <c r="M15" s="24">
        <f t="shared" si="2"/>
        <v>1</v>
      </c>
      <c r="O15" s="101">
        <v>87</v>
      </c>
      <c r="P15" s="123" t="s">
        <v>50</v>
      </c>
      <c r="Q15" s="101"/>
      <c r="S15" s="24" t="s">
        <v>51</v>
      </c>
      <c r="T15" s="24" t="e">
        <f>VLOOKUP('Character sheet'!$Z41,Powers!$S$2:$T$11,2)</f>
        <v>#N/A</v>
      </c>
    </row>
    <row r="16" spans="2:20" ht="12.75">
      <c r="B16" s="101">
        <v>89</v>
      </c>
      <c r="C16" s="101">
        <v>15</v>
      </c>
      <c r="D16" s="101" t="s">
        <v>914</v>
      </c>
      <c r="E16" s="24" t="s">
        <v>943</v>
      </c>
      <c r="I16" s="123">
        <v>772</v>
      </c>
      <c r="J16" s="101">
        <f t="shared" si="0"/>
        <v>114</v>
      </c>
      <c r="K16" s="24" t="str">
        <f t="shared" si="3"/>
        <v>Reality alteration</v>
      </c>
      <c r="M16" s="24">
        <f t="shared" si="2"/>
        <v>1</v>
      </c>
      <c r="S16" s="24" t="s">
        <v>51</v>
      </c>
      <c r="T16" s="24" t="e">
        <f>VLOOKUP('Character sheet'!$Z42,Powers!$S$2:$T$11,2)</f>
        <v>#N/A</v>
      </c>
    </row>
    <row r="17" spans="2:20" ht="12.75">
      <c r="B17" s="101">
        <v>93</v>
      </c>
      <c r="C17" s="101">
        <v>16</v>
      </c>
      <c r="D17" s="101" t="s">
        <v>76</v>
      </c>
      <c r="E17" s="24" t="s">
        <v>944</v>
      </c>
      <c r="I17" s="123">
        <v>778</v>
      </c>
      <c r="J17" s="101">
        <f t="shared" si="0"/>
        <v>115</v>
      </c>
      <c r="K17" s="24" t="str">
        <f t="shared" si="3"/>
        <v>Spirit vampirism</v>
      </c>
      <c r="M17" s="24">
        <f t="shared" si="2"/>
        <v>1</v>
      </c>
      <c r="O17" s="24" t="s">
        <v>51</v>
      </c>
      <c r="P17" s="24" t="e">
        <f>VLOOKUP('Character sheet'!$Z$39,Powers!$O$2:$P$15,2)</f>
        <v>#N/A</v>
      </c>
      <c r="S17" s="24" t="s">
        <v>51</v>
      </c>
      <c r="T17" s="24" t="e">
        <f>VLOOKUP('Character sheet'!$Z43,Powers!$S$2:$T$11,2)</f>
        <v>#N/A</v>
      </c>
    </row>
    <row r="18" spans="9:20" ht="12.75">
      <c r="I18" s="123">
        <v>852</v>
      </c>
      <c r="J18" s="101">
        <f t="shared" si="0"/>
        <v>125</v>
      </c>
      <c r="K18" s="24" t="str">
        <f t="shared" si="3"/>
        <v>Matter animation</v>
      </c>
      <c r="M18" s="24">
        <f t="shared" si="2"/>
        <v>1</v>
      </c>
      <c r="S18" s="24" t="s">
        <v>51</v>
      </c>
      <c r="T18" s="24" t="e">
        <f>VLOOKUP('Character sheet'!$Z44,Powers!$S$2:$T$11,2)</f>
        <v>#N/A</v>
      </c>
    </row>
    <row r="19" spans="9:13" ht="12.75">
      <c r="I19" s="123">
        <v>862</v>
      </c>
      <c r="J19" s="101">
        <f t="shared" si="0"/>
        <v>126</v>
      </c>
      <c r="K19" s="24" t="str">
        <f t="shared" si="3"/>
        <v>Machine animation</v>
      </c>
      <c r="M19" s="24">
        <f t="shared" si="2"/>
        <v>1</v>
      </c>
    </row>
    <row r="20" spans="9:30" ht="12.75">
      <c r="I20" s="123">
        <v>894</v>
      </c>
      <c r="J20" s="101">
        <f t="shared" si="0"/>
        <v>130</v>
      </c>
      <c r="K20" s="24" t="str">
        <f t="shared" si="3"/>
        <v>Zombie animation</v>
      </c>
      <c r="M20" s="24">
        <f t="shared" si="2"/>
        <v>1</v>
      </c>
      <c r="Q20" s="101">
        <v>1</v>
      </c>
      <c r="R20" s="24" t="s">
        <v>565</v>
      </c>
      <c r="U20" s="24">
        <v>1</v>
      </c>
      <c r="V20" s="24" t="s">
        <v>860</v>
      </c>
      <c r="W20" s="24">
        <v>1</v>
      </c>
      <c r="X20" s="24" t="s">
        <v>771</v>
      </c>
      <c r="Y20" s="24">
        <v>1</v>
      </c>
      <c r="Z20" s="24" t="s">
        <v>782</v>
      </c>
      <c r="AA20" s="24">
        <v>1</v>
      </c>
      <c r="AB20" s="24" t="s">
        <v>785</v>
      </c>
      <c r="AC20" s="24">
        <v>1</v>
      </c>
      <c r="AD20" s="24" t="e">
        <f>CONCATENATE("Hero can control movement of gases and vapors. Gases move ",VLOOKUP($F$177,HPs!$D$83:$O$98,12,FALSE)," per turn.")</f>
        <v>#N/A</v>
      </c>
    </row>
    <row r="21" spans="9:30" ht="12.75">
      <c r="I21" s="123">
        <v>926</v>
      </c>
      <c r="J21" s="101">
        <f t="shared" si="0"/>
        <v>133</v>
      </c>
      <c r="K21" s="24" t="str">
        <f t="shared" si="3"/>
        <v>Disintegration</v>
      </c>
      <c r="M21" s="24">
        <f t="shared" si="2"/>
        <v>1</v>
      </c>
      <c r="Q21" s="101">
        <v>25</v>
      </c>
      <c r="R21" s="24" t="s">
        <v>566</v>
      </c>
      <c r="U21" s="24">
        <v>41</v>
      </c>
      <c r="V21" s="24" t="s">
        <v>859</v>
      </c>
      <c r="W21" s="24">
        <v>41</v>
      </c>
      <c r="X21" s="24" t="s">
        <v>772</v>
      </c>
      <c r="Y21" s="24">
        <v>21</v>
      </c>
      <c r="Z21" s="24" t="s">
        <v>783</v>
      </c>
      <c r="AA21" s="24">
        <v>31</v>
      </c>
      <c r="AB21" s="24" t="s">
        <v>787</v>
      </c>
      <c r="AC21" s="24">
        <v>21</v>
      </c>
      <c r="AD21" s="24" t="e">
        <f>CONCATENATE("Hero can control movement of liquids. Liquids move ",VLOOKUP($F$177,HPs!$D$83:$O$98,11,FALSE)," per turn.")</f>
        <v>#N/A</v>
      </c>
    </row>
    <row r="22" spans="9:30" ht="12.75">
      <c r="I22" s="123">
        <v>946</v>
      </c>
      <c r="J22" s="101">
        <f t="shared" si="0"/>
        <v>134</v>
      </c>
      <c r="K22" s="24" t="str">
        <f t="shared" si="3"/>
        <v>Elemental conversion</v>
      </c>
      <c r="M22" s="24">
        <f t="shared" si="2"/>
        <v>1</v>
      </c>
      <c r="Q22" s="101">
        <v>45</v>
      </c>
      <c r="R22" s="24" t="s">
        <v>567</v>
      </c>
      <c r="U22" s="24">
        <v>71</v>
      </c>
      <c r="V22" s="24" t="s">
        <v>861</v>
      </c>
      <c r="W22" s="24">
        <v>66</v>
      </c>
      <c r="X22" s="24" t="s">
        <v>776</v>
      </c>
      <c r="Y22" s="24">
        <v>41</v>
      </c>
      <c r="Z22" s="24" t="s">
        <v>784</v>
      </c>
      <c r="AA22" s="24">
        <v>61</v>
      </c>
      <c r="AB22" s="24" t="s">
        <v>786</v>
      </c>
      <c r="AC22" s="24">
        <v>51</v>
      </c>
      <c r="AD22" s="24" t="e">
        <f>CONCATENATE("Hero can alter the condition of and control solid non-sentient matter. Solids move ",VLOOKUP($F$177,HPs!$D$83:$O$98,11,FALSE)," per turn.")</f>
        <v>#N/A</v>
      </c>
    </row>
    <row r="23" spans="9:24" ht="12.75">
      <c r="I23" s="123">
        <v>981</v>
      </c>
      <c r="J23" s="101">
        <f t="shared" si="0"/>
        <v>136</v>
      </c>
      <c r="K23" s="24" t="str">
        <f t="shared" si="3"/>
        <v>Molecular conversion</v>
      </c>
      <c r="M23" s="24">
        <f t="shared" si="2"/>
        <v>1</v>
      </c>
      <c r="Q23" s="101">
        <v>49</v>
      </c>
      <c r="R23" s="24" t="s">
        <v>568</v>
      </c>
      <c r="W23" s="24">
        <v>76</v>
      </c>
      <c r="X23" s="24" t="s">
        <v>777</v>
      </c>
    </row>
    <row r="24" spans="9:18" ht="12.75">
      <c r="I24" s="123">
        <v>1001</v>
      </c>
      <c r="J24" s="101">
        <f t="shared" si="0"/>
        <v>137</v>
      </c>
      <c r="K24" s="24" t="str">
        <f t="shared" si="3"/>
        <v>Artifact creation</v>
      </c>
      <c r="M24" s="24">
        <f t="shared" si="2"/>
        <v>1</v>
      </c>
      <c r="Q24" s="101">
        <v>69</v>
      </c>
      <c r="R24" s="24" t="s">
        <v>569</v>
      </c>
    </row>
    <row r="25" spans="9:18" ht="12.75">
      <c r="I25" s="123">
        <v>1025</v>
      </c>
      <c r="J25" s="101">
        <f t="shared" si="0"/>
        <v>139</v>
      </c>
      <c r="K25" s="24" t="str">
        <f t="shared" si="3"/>
        <v>Lifeform creation</v>
      </c>
      <c r="M25" s="24">
        <f t="shared" si="2"/>
        <v>1</v>
      </c>
      <c r="Q25" s="101">
        <v>77</v>
      </c>
      <c r="R25" s="24" t="s">
        <v>570</v>
      </c>
    </row>
    <row r="26" spans="9:18" ht="12.75">
      <c r="I26" s="123">
        <v>1030</v>
      </c>
      <c r="J26" s="101">
        <f t="shared" si="0"/>
        <v>140</v>
      </c>
      <c r="K26" s="24" t="str">
        <f t="shared" si="3"/>
        <v>Mechanical creation</v>
      </c>
      <c r="M26" s="24">
        <f t="shared" si="2"/>
        <v>1</v>
      </c>
      <c r="Q26" s="101">
        <v>93</v>
      </c>
      <c r="R26" s="24" t="s">
        <v>581</v>
      </c>
    </row>
    <row r="27" spans="9:30" ht="12.75">
      <c r="I27" s="123">
        <v>1116</v>
      </c>
      <c r="J27" s="101">
        <f t="shared" si="0"/>
        <v>151</v>
      </c>
      <c r="K27" s="24" t="str">
        <f t="shared" si="3"/>
        <v>Cosmic awareness</v>
      </c>
      <c r="M27" s="24">
        <f t="shared" si="2"/>
        <v>1</v>
      </c>
      <c r="Q27" s="125" t="s">
        <v>51</v>
      </c>
      <c r="R27" s="24" t="e">
        <f>VLOOKUP('Character sheet'!$Z$39,Powers!$Q$20:$R$26,2)</f>
        <v>#N/A</v>
      </c>
      <c r="U27" s="24" t="s">
        <v>51</v>
      </c>
      <c r="V27" s="24" t="e">
        <f>VLOOKUP('Character sheet'!$Z$40,Powers!$U$20:$V$22,2)</f>
        <v>#N/A</v>
      </c>
      <c r="W27" s="24" t="s">
        <v>51</v>
      </c>
      <c r="X27" s="24" t="e">
        <f>VLOOKUP('Character sheet'!$Z$41,Powers!$W$20:$X$23,2)</f>
        <v>#N/A</v>
      </c>
      <c r="Y27" s="24" t="s">
        <v>51</v>
      </c>
      <c r="Z27" s="24" t="e">
        <f>VLOOKUP('Character sheet'!$Z$39,Powers!Y$20:Z$22,2)</f>
        <v>#N/A</v>
      </c>
      <c r="AA27" s="24" t="s">
        <v>51</v>
      </c>
      <c r="AB27" s="24" t="e">
        <f>VLOOKUP('Character sheet'!$Z$40,Powers!AA$20:AB$22,2)</f>
        <v>#N/A</v>
      </c>
      <c r="AC27" s="24" t="s">
        <v>51</v>
      </c>
      <c r="AD27" s="24" t="e">
        <f>VLOOKUP('Character sheet'!$Z$41,Powers!AC$20:AD$22,2)</f>
        <v>#N/A</v>
      </c>
    </row>
    <row r="28" spans="9:13" ht="12.75">
      <c r="I28" s="123">
        <v>1127</v>
      </c>
      <c r="J28" s="101">
        <f t="shared" si="0"/>
        <v>155</v>
      </c>
      <c r="K28" s="24" t="str">
        <f t="shared" si="3"/>
        <v>Free spirit</v>
      </c>
      <c r="M28" s="24">
        <f t="shared" si="2"/>
        <v>1</v>
      </c>
    </row>
    <row r="29" spans="9:13" ht="12.75">
      <c r="I29" s="123">
        <v>1128</v>
      </c>
      <c r="J29" s="101">
        <f t="shared" si="0"/>
        <v>156</v>
      </c>
      <c r="K29" s="24" t="str">
        <f t="shared" si="3"/>
        <v>Hallucinations</v>
      </c>
      <c r="M29" s="24">
        <v>1</v>
      </c>
    </row>
    <row r="30" spans="9:13" ht="12.75">
      <c r="I30" s="123">
        <v>1175</v>
      </c>
      <c r="J30" s="101">
        <f t="shared" si="0"/>
        <v>168</v>
      </c>
      <c r="K30" s="24" t="str">
        <f>VLOOKUP(I30,$C$53:$E$315,3)</f>
        <v>Precognition</v>
      </c>
      <c r="M30" s="24">
        <f>M28</f>
        <v>1</v>
      </c>
    </row>
    <row r="31" spans="9:13" ht="12.75">
      <c r="I31" s="123">
        <v>1176</v>
      </c>
      <c r="J31" s="101">
        <f t="shared" si="0"/>
        <v>169</v>
      </c>
      <c r="K31" s="24" t="str">
        <f>VLOOKUP(I31,$C$53:$E$315,3)</f>
        <v>Psionic vampirism</v>
      </c>
      <c r="M31" s="24">
        <f t="shared" si="2"/>
        <v>1</v>
      </c>
    </row>
    <row r="32" spans="9:13" ht="12.75">
      <c r="I32" s="123">
        <v>1180</v>
      </c>
      <c r="J32" s="101">
        <f t="shared" si="0"/>
        <v>172</v>
      </c>
      <c r="K32" s="24" t="str">
        <f aca="true" t="shared" si="4" ref="K32:K51">VLOOKUP(I32,$C$53:$E$315,3)</f>
        <v>Serial immortality</v>
      </c>
      <c r="M32" s="24">
        <f t="shared" si="2"/>
        <v>1</v>
      </c>
    </row>
    <row r="33" spans="9:13" ht="12.75">
      <c r="I33" s="123">
        <v>1186</v>
      </c>
      <c r="J33" s="101">
        <f t="shared" si="0"/>
        <v>175</v>
      </c>
      <c r="K33" s="24" t="str">
        <f t="shared" si="4"/>
        <v>Telelocation</v>
      </c>
      <c r="M33" s="24">
        <f t="shared" si="2"/>
        <v>1</v>
      </c>
    </row>
    <row r="34" spans="9:13" ht="12.75">
      <c r="I34" s="123">
        <v>1246</v>
      </c>
      <c r="J34" s="101">
        <f t="shared" si="0"/>
        <v>185</v>
      </c>
      <c r="K34" s="24" t="str">
        <f t="shared" si="4"/>
        <v>Pheromones</v>
      </c>
      <c r="M34" s="24">
        <f t="shared" si="2"/>
        <v>1</v>
      </c>
    </row>
    <row r="35" spans="9:13" ht="12.75">
      <c r="I35" s="123">
        <v>1248</v>
      </c>
      <c r="J35" s="101">
        <f aca="true" t="shared" si="5" ref="J35:J51">VLOOKUP(I35,$C$53:$E$315,2)</f>
        <v>186</v>
      </c>
      <c r="K35" s="24" t="str">
        <f t="shared" si="4"/>
        <v>Regeneration</v>
      </c>
      <c r="M35" s="24">
        <f t="shared" si="2"/>
        <v>1</v>
      </c>
    </row>
    <row r="36" spans="9:13" ht="12.75">
      <c r="I36" s="123">
        <v>1261</v>
      </c>
      <c r="J36" s="101">
        <f t="shared" si="5"/>
        <v>187</v>
      </c>
      <c r="K36" s="24" t="str">
        <f t="shared" si="4"/>
        <v>Self-revival</v>
      </c>
      <c r="M36" s="24">
        <f t="shared" si="2"/>
        <v>1</v>
      </c>
    </row>
    <row r="37" spans="9:13" ht="12.75">
      <c r="I37" s="123">
        <v>1277</v>
      </c>
      <c r="J37" s="101">
        <f t="shared" si="5"/>
        <v>191</v>
      </c>
      <c r="K37" s="24" t="str">
        <f t="shared" si="4"/>
        <v>True invunerability</v>
      </c>
      <c r="M37" s="24">
        <f t="shared" si="2"/>
        <v>1</v>
      </c>
    </row>
    <row r="38" spans="9:13" ht="12.75">
      <c r="I38" s="123">
        <v>1301</v>
      </c>
      <c r="J38" s="101">
        <f t="shared" si="5"/>
        <v>195</v>
      </c>
      <c r="K38" s="24" t="str">
        <f t="shared" si="4"/>
        <v>Control</v>
      </c>
      <c r="M38" s="24">
        <f t="shared" si="2"/>
        <v>1</v>
      </c>
    </row>
    <row r="39" spans="9:13" ht="12.75">
      <c r="I39" s="123">
        <v>1309</v>
      </c>
      <c r="J39" s="101">
        <f t="shared" si="5"/>
        <v>196</v>
      </c>
      <c r="K39" s="24" t="str">
        <f t="shared" si="4"/>
        <v>Creation</v>
      </c>
      <c r="M39" s="24">
        <f t="shared" si="2"/>
        <v>1</v>
      </c>
    </row>
    <row r="40" spans="9:13" ht="12.75">
      <c r="I40" s="123">
        <v>1313</v>
      </c>
      <c r="J40" s="101">
        <f t="shared" si="5"/>
        <v>197</v>
      </c>
      <c r="K40" s="24" t="str">
        <f t="shared" si="4"/>
        <v>Domination</v>
      </c>
      <c r="M40" s="24">
        <f t="shared" si="2"/>
        <v>1</v>
      </c>
    </row>
    <row r="41" spans="9:13" ht="12.75">
      <c r="I41" s="123">
        <v>1338</v>
      </c>
      <c r="J41" s="101">
        <f t="shared" si="5"/>
        <v>200</v>
      </c>
      <c r="K41" s="24" t="str">
        <f t="shared" si="4"/>
        <v>Energy source creation</v>
      </c>
      <c r="M41" s="24">
        <f t="shared" si="2"/>
        <v>1</v>
      </c>
    </row>
    <row r="42" spans="9:13" ht="12.75">
      <c r="I42" s="123">
        <v>1365</v>
      </c>
      <c r="J42" s="101">
        <f t="shared" si="5"/>
        <v>205</v>
      </c>
      <c r="K42" s="24" t="str">
        <f t="shared" si="4"/>
        <v>Power vampirism</v>
      </c>
      <c r="M42" s="24">
        <f t="shared" si="2"/>
        <v>1</v>
      </c>
    </row>
    <row r="43" spans="9:13" ht="12.75">
      <c r="I43" s="123">
        <v>1397</v>
      </c>
      <c r="J43" s="101">
        <f t="shared" si="5"/>
        <v>208</v>
      </c>
      <c r="K43" s="24" t="str">
        <f t="shared" si="4"/>
        <v>Weakness creation</v>
      </c>
      <c r="M43" s="24">
        <f t="shared" si="2"/>
        <v>1</v>
      </c>
    </row>
    <row r="44" spans="9:13" ht="12.75">
      <c r="I44" s="123">
        <v>1421</v>
      </c>
      <c r="J44" s="101">
        <f t="shared" si="5"/>
        <v>215</v>
      </c>
      <c r="K44" s="24" t="str">
        <f t="shared" si="4"/>
        <v>Body adaptation</v>
      </c>
      <c r="M44" s="24">
        <f t="shared" si="2"/>
        <v>1</v>
      </c>
    </row>
    <row r="45" spans="9:13" ht="12.75">
      <c r="I45" s="123">
        <v>1428</v>
      </c>
      <c r="J45" s="101">
        <f t="shared" si="5"/>
        <v>216</v>
      </c>
      <c r="K45" s="24" t="str">
        <f t="shared" si="4"/>
        <v>Body transformation</v>
      </c>
      <c r="M45" s="24">
        <f t="shared" si="2"/>
        <v>1</v>
      </c>
    </row>
    <row r="46" spans="9:13" ht="12.75">
      <c r="I46" s="123">
        <v>1443</v>
      </c>
      <c r="J46" s="101">
        <f t="shared" si="5"/>
        <v>221</v>
      </c>
      <c r="K46" s="24" t="str">
        <f t="shared" si="4"/>
        <v>Energy body</v>
      </c>
      <c r="M46" s="24">
        <f t="shared" si="2"/>
        <v>1</v>
      </c>
    </row>
    <row r="47" spans="9:13" ht="12.75">
      <c r="I47" s="123">
        <v>1479</v>
      </c>
      <c r="J47" s="101">
        <f t="shared" si="5"/>
        <v>235</v>
      </c>
      <c r="K47" s="24" t="str">
        <f t="shared" si="4"/>
        <v>Self-duplication</v>
      </c>
      <c r="M47" s="24">
        <f t="shared" si="2"/>
        <v>1</v>
      </c>
    </row>
    <row r="48" spans="9:13" ht="12.75">
      <c r="I48" s="123">
        <v>1515</v>
      </c>
      <c r="J48" s="101">
        <f t="shared" si="5"/>
        <v>246</v>
      </c>
      <c r="K48" s="24" t="str">
        <f t="shared" si="4"/>
        <v>Gateway</v>
      </c>
      <c r="M48" s="24">
        <f t="shared" si="2"/>
        <v>1</v>
      </c>
    </row>
    <row r="49" spans="9:13" ht="12.75">
      <c r="I49" s="123">
        <v>1565</v>
      </c>
      <c r="J49" s="101">
        <f t="shared" si="5"/>
        <v>256</v>
      </c>
      <c r="K49" s="24" t="str">
        <f t="shared" si="4"/>
        <v>Teleport self</v>
      </c>
      <c r="M49" s="24">
        <f t="shared" si="2"/>
        <v>1</v>
      </c>
    </row>
    <row r="50" spans="9:13" ht="12.75">
      <c r="I50" s="123">
        <v>1573</v>
      </c>
      <c r="J50" s="101">
        <f t="shared" si="5"/>
        <v>257</v>
      </c>
      <c r="K50" s="24" t="str">
        <f t="shared" si="4"/>
        <v>Teleport others</v>
      </c>
      <c r="M50" s="24">
        <f t="shared" si="2"/>
        <v>1</v>
      </c>
    </row>
    <row r="51" spans="2:13" ht="12.75">
      <c r="B51" s="24"/>
      <c r="C51" s="24"/>
      <c r="D51" s="24"/>
      <c r="I51" s="123">
        <v>1579</v>
      </c>
      <c r="J51" s="101">
        <f t="shared" si="5"/>
        <v>259</v>
      </c>
      <c r="K51" s="24" t="str">
        <f t="shared" si="4"/>
        <v>Time travel</v>
      </c>
      <c r="M51" s="24">
        <f t="shared" si="2"/>
        <v>1</v>
      </c>
    </row>
    <row r="52" ht="12.75">
      <c r="H52" s="24" t="s">
        <v>618</v>
      </c>
    </row>
    <row r="53" spans="1:9" ht="12.75">
      <c r="A53" s="101">
        <v>1</v>
      </c>
      <c r="B53" s="101">
        <v>1</v>
      </c>
      <c r="C53" s="101">
        <f>B53</f>
        <v>1</v>
      </c>
      <c r="D53" s="101">
        <v>1</v>
      </c>
      <c r="E53" s="24" t="s">
        <v>953</v>
      </c>
      <c r="F53" s="24" t="e">
        <f>VLOOKUP(D53,'Character sheet'!$X$49:$AB$62,4,FALSE)</f>
        <v>#N/A</v>
      </c>
      <c r="G53" s="24" t="e">
        <f>CONCATENATE("Resists ",VLOOKUP(F53,HPs!$N$65:$P$80,3,FALSE)," damage")</f>
        <v>#N/A</v>
      </c>
      <c r="H53" s="24" t="s">
        <v>665</v>
      </c>
      <c r="I53" s="126"/>
    </row>
    <row r="54" spans="1:9" ht="12.75">
      <c r="A54" s="101">
        <v>1</v>
      </c>
      <c r="B54" s="101">
        <v>16</v>
      </c>
      <c r="C54" s="101">
        <f aca="true" t="shared" si="6" ref="C54:C69">B54</f>
        <v>16</v>
      </c>
      <c r="D54" s="101">
        <f>D53+1</f>
        <v>2</v>
      </c>
      <c r="E54" s="24" t="s">
        <v>954</v>
      </c>
      <c r="F54" s="24" t="e">
        <f>VLOOKUP(D54,'Character sheet'!$X$49:$AB$62,4,FALSE)</f>
        <v>#N/A</v>
      </c>
      <c r="G54" s="24" t="e">
        <f>CONCATENATE("Resists ",VLOOKUP(F54,HPs!$N$65:$P$80,2,FALSE)," damage, range ",VLOOKUP(F54,HPs!$D$83:$I$98,3,FALSE),", radius ",VLOOKUP(F54,HPs!$N$65:$P$80,2,FALSE)*0.1," areas")</f>
        <v>#N/A</v>
      </c>
      <c r="H54" s="24" t="s">
        <v>664</v>
      </c>
      <c r="I54" s="126"/>
    </row>
    <row r="55" spans="1:9" ht="12.75">
      <c r="A55" s="101">
        <v>1</v>
      </c>
      <c r="B55" s="101">
        <v>21</v>
      </c>
      <c r="C55" s="101">
        <f t="shared" si="6"/>
        <v>21</v>
      </c>
      <c r="D55" s="101">
        <f aca="true" t="shared" si="7" ref="D55:D118">D54+1</f>
        <v>3</v>
      </c>
      <c r="E55" s="24" t="s">
        <v>955</v>
      </c>
      <c r="F55" s="24" t="e">
        <f>VLOOKUP(D55,'Character sheet'!$X$49:$AB$62,4,FALSE)</f>
        <v>#N/A</v>
      </c>
      <c r="G55" s="24" t="e">
        <f>CONCATENATE("Resists ",VLOOKUP(F55,HPs!$N$65:$P$80,2,FALSE)," damage, range ",VLOOKUP(F55,HPs!$D$83:$I$98,3,FALSE),", radius ",VLOOKUP(F55,HPs!$N$65:$P$80,2,FALSE)*0.1," areas; min. Intuition +1CS")</f>
        <v>#N/A</v>
      </c>
      <c r="H55" s="24" t="s">
        <v>667</v>
      </c>
      <c r="I55" s="24"/>
    </row>
    <row r="56" spans="1:9" ht="12.75">
      <c r="A56" s="101">
        <v>1</v>
      </c>
      <c r="B56" s="101">
        <v>24</v>
      </c>
      <c r="C56" s="101">
        <f t="shared" si="6"/>
        <v>24</v>
      </c>
      <c r="D56" s="101">
        <f t="shared" si="7"/>
        <v>4</v>
      </c>
      <c r="E56" s="24" t="s">
        <v>956</v>
      </c>
      <c r="F56" s="24" t="e">
        <f>VLOOKUP(D56,'Character sheet'!$X$49:$AB$62,4,FALSE)</f>
        <v>#N/A</v>
      </c>
      <c r="G56" s="24" t="e">
        <f>CONCATENATE("Resists ",VLOOKUP(F56,HPs!$N$65:$P$80,2,FALSE)," damage, range ",VLOOKUP(F56,HPs!$D$83:$I$98,3,FALSE),", radius ",VLOOKUP(F56,HPs!$N$65:$P$80,2,FALSE)*0.1," areas")</f>
        <v>#N/A</v>
      </c>
      <c r="H56" s="24" t="s">
        <v>594</v>
      </c>
      <c r="I56" s="24"/>
    </row>
    <row r="57" spans="1:9" ht="12.75">
      <c r="A57" s="101">
        <v>1</v>
      </c>
      <c r="B57" s="101">
        <v>31</v>
      </c>
      <c r="C57" s="101">
        <f t="shared" si="6"/>
        <v>31</v>
      </c>
      <c r="D57" s="101">
        <f t="shared" si="7"/>
        <v>5</v>
      </c>
      <c r="E57" s="24" t="s">
        <v>957</v>
      </c>
      <c r="F57" s="24" t="e">
        <f>VLOOKUP(D57,'Character sheet'!$X$49:$AB$62,4,FALSE)</f>
        <v>#N/A</v>
      </c>
      <c r="G57" s="24" t="e">
        <f>CONCATENATE("Resists ",VLOOKUP(F57,HPs!$N$65:$P$80,2,FALSE)," damage, range ",VLOOKUP(F57,HPs!$D$83:$I$98,3,FALSE),", radius ",VLOOKUP(F57,HPs!$N$65:$P$80,2,FALSE)*0.1," areas")</f>
        <v>#N/A</v>
      </c>
      <c r="H57" s="24" t="s">
        <v>666</v>
      </c>
      <c r="I57" s="24"/>
    </row>
    <row r="58" spans="1:9" ht="12.75">
      <c r="A58" s="101">
        <v>1</v>
      </c>
      <c r="B58" s="101">
        <v>36</v>
      </c>
      <c r="C58" s="101">
        <f t="shared" si="6"/>
        <v>36</v>
      </c>
      <c r="D58" s="101">
        <f t="shared" si="7"/>
        <v>6</v>
      </c>
      <c r="E58" s="24" t="s">
        <v>958</v>
      </c>
      <c r="F58" s="24" t="e">
        <f>VLOOKUP(D58,'Character sheet'!$X$49:$AB$62,4,FALSE)</f>
        <v>#N/A</v>
      </c>
      <c r="G58" s="24" t="e">
        <f>CONCATENATE("Resists ",VLOOKUP(F58,HPs!$N$65:$P$80,2,FALSE)," damage, range ",VLOOKUP(F58,HPs!$D$83:$I$98,3,FALSE),", radius ",VLOOKUP(F58,HPs!$N$65:$P$80,2,FALSE)*0.1," areas; min. Psyche +1CS")</f>
        <v>#N/A</v>
      </c>
      <c r="H58" s="24" t="s">
        <v>668</v>
      </c>
      <c r="I58" s="24"/>
    </row>
    <row r="59" spans="1:9" ht="12.75">
      <c r="A59" s="101">
        <v>1</v>
      </c>
      <c r="B59" s="101">
        <v>41</v>
      </c>
      <c r="C59" s="101">
        <f t="shared" si="6"/>
        <v>41</v>
      </c>
      <c r="D59" s="101">
        <f t="shared" si="7"/>
        <v>7</v>
      </c>
      <c r="E59" s="24" t="s">
        <v>959</v>
      </c>
      <c r="F59" s="24" t="e">
        <f>VLOOKUP(D59,'Character sheet'!$X$49:$AB$62,4,FALSE)</f>
        <v>#N/A</v>
      </c>
      <c r="G59" s="24" t="e">
        <f>CONCATENATE("Resists ",VLOOKUP(F59,HPs!$N$65:$P$80,2,FALSE)," damage, range ",VLOOKUP(F59,HPs!$D$83:$I$98,3,FALSE),", radius ",VLOOKUP(F59,HPs!$N$65:$P$80,2,FALSE)*0.1," areas")</f>
        <v>#N/A</v>
      </c>
      <c r="H59" s="24" t="s">
        <v>595</v>
      </c>
      <c r="I59" s="24"/>
    </row>
    <row r="60" spans="1:9" ht="12.75">
      <c r="A60" s="101">
        <v>1</v>
      </c>
      <c r="B60" s="101">
        <v>49</v>
      </c>
      <c r="C60" s="101">
        <f t="shared" si="6"/>
        <v>49</v>
      </c>
      <c r="D60" s="101">
        <f t="shared" si="7"/>
        <v>8</v>
      </c>
      <c r="E60" s="24" t="s">
        <v>513</v>
      </c>
      <c r="F60" s="24" t="e">
        <f>VLOOKUP(D60,'Character sheet'!$X$49:$AB$62,4,FALSE)</f>
        <v>#N/A</v>
      </c>
      <c r="G60" s="24" t="e">
        <f>CONCATENATE("Resists ",VLOOKUP(F60,HPs!$N$65:$P$80,2,FALSE)," damage, range ",VLOOKUP(F60,HPs!$D$83:$I$98,3,FALSE),", radius ",VLOOKUP(F60,HPs!$N$65:$P$80,2,FALSE)*0.1," areas")</f>
        <v>#N/A</v>
      </c>
      <c r="H60" s="24" t="s">
        <v>669</v>
      </c>
      <c r="I60" s="24"/>
    </row>
    <row r="61" spans="1:9" ht="12.75">
      <c r="A61" s="101">
        <v>1</v>
      </c>
      <c r="B61" s="101">
        <v>51</v>
      </c>
      <c r="C61" s="101">
        <f t="shared" si="6"/>
        <v>51</v>
      </c>
      <c r="D61" s="101">
        <f t="shared" si="7"/>
        <v>9</v>
      </c>
      <c r="E61" s="24" t="s">
        <v>960</v>
      </c>
      <c r="F61" s="24" t="e">
        <f>VLOOKUP(D61,'Character sheet'!$X$49:$AB$62,4,FALSE)</f>
        <v>#N/A</v>
      </c>
      <c r="G61" s="24" t="e">
        <f>CONCATENATE("Resists ",VLOOKUP(F61,HPs!$N$65:$P$80,2,FALSE)," damage, range ",VLOOKUP(F61,HPs!$D$83:$I$98,3,FALSE),", radius ",VLOOKUP(F61,HPs!$N$65:$P$80,2,FALSE)*0.1," areas")</f>
        <v>#N/A</v>
      </c>
      <c r="H61" s="24" t="s">
        <v>595</v>
      </c>
      <c r="I61" s="24"/>
    </row>
    <row r="62" spans="1:8" ht="12.75">
      <c r="A62" s="101">
        <v>1</v>
      </c>
      <c r="B62" s="101">
        <v>54</v>
      </c>
      <c r="C62" s="101">
        <f t="shared" si="6"/>
        <v>54</v>
      </c>
      <c r="D62" s="101">
        <f t="shared" si="7"/>
        <v>10</v>
      </c>
      <c r="E62" s="24" t="s">
        <v>961</v>
      </c>
      <c r="F62" s="24" t="e">
        <f>VLOOKUP(D62,'Character sheet'!$X$49:$AB$62,4,FALSE)</f>
        <v>#N/A</v>
      </c>
      <c r="G62" s="24" t="e">
        <f>CONCATENATE("Reflects ",VLOOKUP(F62,HPs!$N$65:$P$80,3,FALSE)," damage")</f>
        <v>#N/A</v>
      </c>
      <c r="H62" s="24" t="s">
        <v>596</v>
      </c>
    </row>
    <row r="63" spans="1:8" ht="12.75">
      <c r="A63" s="101">
        <v>1</v>
      </c>
      <c r="B63" s="101">
        <v>66</v>
      </c>
      <c r="C63" s="101">
        <f t="shared" si="6"/>
        <v>66</v>
      </c>
      <c r="D63" s="101">
        <f t="shared" si="7"/>
        <v>11</v>
      </c>
      <c r="E63" s="24" t="s">
        <v>963</v>
      </c>
      <c r="F63" s="24" t="e">
        <f>VLOOKUP(D63,'Character sheet'!$X$49:$AB$62,4,FALSE)</f>
        <v>#N/A</v>
      </c>
      <c r="G63" s="24" t="e">
        <f>CONCATENATE("Resists ",VLOOKUP(F63,HPs!$N$65:$P$80,2,FALSE)," damage; min. Intuition +1CS")</f>
        <v>#N/A</v>
      </c>
      <c r="H63" s="24" t="s">
        <v>667</v>
      </c>
    </row>
    <row r="64" spans="1:9" ht="12.75">
      <c r="A64" s="101">
        <v>1</v>
      </c>
      <c r="B64" s="101">
        <v>71</v>
      </c>
      <c r="C64" s="101">
        <f t="shared" si="6"/>
        <v>71</v>
      </c>
      <c r="D64" s="101">
        <f t="shared" si="7"/>
        <v>12</v>
      </c>
      <c r="E64" s="24" t="s">
        <v>964</v>
      </c>
      <c r="F64" s="24" t="e">
        <f>VLOOKUP(D64,'Character sheet'!$X$49:$AB$62,4,FALSE)</f>
        <v>#N/A</v>
      </c>
      <c r="G64" s="24" t="e">
        <f>CONCATENATE("Resists ",VLOOKUP(F64,HPs!$N$65:$P$80,2,FALSE)," damage")</f>
        <v>#N/A</v>
      </c>
      <c r="H64" s="24" t="s">
        <v>597</v>
      </c>
      <c r="I64" s="126"/>
    </row>
    <row r="65" spans="1:9" ht="12.75">
      <c r="A65" s="101">
        <v>1</v>
      </c>
      <c r="B65" s="101">
        <v>78</v>
      </c>
      <c r="C65" s="101">
        <f t="shared" si="6"/>
        <v>78</v>
      </c>
      <c r="D65" s="101">
        <f t="shared" si="7"/>
        <v>13</v>
      </c>
      <c r="E65" s="24" t="s">
        <v>962</v>
      </c>
      <c r="F65" s="24" t="e">
        <f>VLOOKUP(D65,'Character sheet'!$X$49:$AB$62,4,FALSE)</f>
        <v>#N/A</v>
      </c>
      <c r="G65" s="24" t="e">
        <f>CONCATENATE("Resists ",VLOOKUP(F65,HPs!$N$65:$P$80,2,FALSE)," damage")</f>
        <v>#N/A</v>
      </c>
      <c r="H65" s="24" t="s">
        <v>666</v>
      </c>
      <c r="I65" s="126"/>
    </row>
    <row r="66" spans="1:8" ht="12.75">
      <c r="A66" s="101">
        <v>1</v>
      </c>
      <c r="B66" s="101">
        <v>83</v>
      </c>
      <c r="C66" s="101">
        <f t="shared" si="6"/>
        <v>83</v>
      </c>
      <c r="D66" s="101">
        <f t="shared" si="7"/>
        <v>14</v>
      </c>
      <c r="E66" s="24" t="s">
        <v>965</v>
      </c>
      <c r="F66" s="24" t="e">
        <f>VLOOKUP(D66,'Character sheet'!$X$49:$AB$62,4,FALSE)</f>
        <v>#N/A</v>
      </c>
      <c r="G66" s="24" t="e">
        <f>CONCATENATE("Resists ",VLOOKUP(F66,HPs!$N$65:$P$80,2,FALSE)," damage; min. Psyche +1CS")</f>
        <v>#N/A</v>
      </c>
      <c r="H66" s="24" t="s">
        <v>668</v>
      </c>
    </row>
    <row r="67" spans="1:9" ht="12.75">
      <c r="A67" s="101">
        <v>1</v>
      </c>
      <c r="B67" s="101">
        <v>88</v>
      </c>
      <c r="C67" s="101">
        <f t="shared" si="6"/>
        <v>88</v>
      </c>
      <c r="D67" s="101">
        <f t="shared" si="7"/>
        <v>15</v>
      </c>
      <c r="E67" s="24" t="s">
        <v>966</v>
      </c>
      <c r="F67" s="24" t="e">
        <f>VLOOKUP(D67,'Character sheet'!$X$49:$AB$62,4,FALSE)</f>
        <v>#N/A</v>
      </c>
      <c r="G67" s="24" t="e">
        <f>CONCATENATE("Resists ",VLOOKUP(F67,HPs!$N$65:$P$80,2,FALSE)," damage")</f>
        <v>#N/A</v>
      </c>
      <c r="H67" s="24" t="s">
        <v>597</v>
      </c>
      <c r="I67" s="126"/>
    </row>
    <row r="68" spans="1:9" ht="12.75">
      <c r="A68" s="101">
        <v>1</v>
      </c>
      <c r="B68" s="101">
        <v>95</v>
      </c>
      <c r="C68" s="101">
        <f t="shared" si="6"/>
        <v>95</v>
      </c>
      <c r="D68" s="101">
        <f t="shared" si="7"/>
        <v>16</v>
      </c>
      <c r="E68" s="24" t="s">
        <v>514</v>
      </c>
      <c r="F68" s="24" t="e">
        <f>VLOOKUP(D68,'Character sheet'!$X$49:$AB$62,4,FALSE)</f>
        <v>#N/A</v>
      </c>
      <c r="G68" s="24" t="e">
        <f>CONCATENATE("Resists ",VLOOKUP(F68,HPs!$N$65:$P$80,2,FALSE)," damage")</f>
        <v>#N/A</v>
      </c>
      <c r="H68" s="24" t="s">
        <v>669</v>
      </c>
      <c r="I68" s="126"/>
    </row>
    <row r="69" spans="1:9" ht="12.75">
      <c r="A69" s="105">
        <v>1</v>
      </c>
      <c r="B69" s="105">
        <v>98</v>
      </c>
      <c r="C69" s="105">
        <f t="shared" si="6"/>
        <v>98</v>
      </c>
      <c r="D69" s="105">
        <f t="shared" si="7"/>
        <v>17</v>
      </c>
      <c r="E69" s="104" t="s">
        <v>967</v>
      </c>
      <c r="F69" s="24" t="e">
        <f>VLOOKUP(D69,'Character sheet'!$X$49:$AB$62,4,FALSE)</f>
        <v>#N/A</v>
      </c>
      <c r="G69" s="24" t="e">
        <f>CONCATENATE("Resists ",VLOOKUP(F69,HPs!$N$65:$P$80,2,FALSE)," damage")</f>
        <v>#N/A</v>
      </c>
      <c r="H69" s="24" t="s">
        <v>598</v>
      </c>
      <c r="I69" s="126"/>
    </row>
    <row r="70" spans="1:9" ht="12.75">
      <c r="A70" s="101">
        <v>2</v>
      </c>
      <c r="B70" s="101">
        <v>1</v>
      </c>
      <c r="C70" s="101">
        <f>B70+100</f>
        <v>101</v>
      </c>
      <c r="D70" s="101">
        <f t="shared" si="7"/>
        <v>18</v>
      </c>
      <c r="E70" s="24" t="s">
        <v>969</v>
      </c>
      <c r="F70" s="24" t="e">
        <f>VLOOKUP(D70,'Character sheet'!$X$49:$AB$62,4,FALSE)</f>
        <v>#N/A</v>
      </c>
      <c r="G70" s="127" t="e">
        <f>CONCATENATE("Power rank value ",VLOOKUP(F70,HPs!$N$65:$O$80,2,FALSE))</f>
        <v>#N/A</v>
      </c>
      <c r="H70" s="24" t="s">
        <v>670</v>
      </c>
      <c r="I70" s="126"/>
    </row>
    <row r="71" spans="1:9" ht="12.75">
      <c r="A71" s="101">
        <v>2</v>
      </c>
      <c r="B71" s="101">
        <v>3</v>
      </c>
      <c r="C71" s="101">
        <f aca="true" t="shared" si="8" ref="C71:C91">B71+100</f>
        <v>103</v>
      </c>
      <c r="D71" s="101">
        <f t="shared" si="7"/>
        <v>19</v>
      </c>
      <c r="E71" s="24" t="s">
        <v>970</v>
      </c>
      <c r="F71" s="24" t="e">
        <f>VLOOKUP(D71,'Character sheet'!$X$49:$AB$62,4,FALSE)</f>
        <v>#N/A</v>
      </c>
      <c r="G71" s="24" t="s">
        <v>411</v>
      </c>
      <c r="H71" s="24" t="s">
        <v>671</v>
      </c>
      <c r="I71" s="126"/>
    </row>
    <row r="72" spans="1:9" ht="12.75">
      <c r="A72" s="101">
        <v>2</v>
      </c>
      <c r="B72" s="101">
        <v>5</v>
      </c>
      <c r="C72" s="101">
        <f t="shared" si="8"/>
        <v>105</v>
      </c>
      <c r="D72" s="101">
        <f t="shared" si="7"/>
        <v>20</v>
      </c>
      <c r="E72" s="24" t="s">
        <v>971</v>
      </c>
      <c r="F72" s="24" t="e">
        <f>VLOOKUP(D72,'Character sheet'!$X$49:$AB$62,4,FALSE)</f>
        <v>#N/A</v>
      </c>
      <c r="G72" s="24" t="e">
        <f>CONCATENATE("Detection range ",VLOOKUP(F72,HPs!$D$83:$I$98,5,FALSE))</f>
        <v>#N/A</v>
      </c>
      <c r="H72" s="24" t="s">
        <v>672</v>
      </c>
      <c r="I72" s="126"/>
    </row>
    <row r="73" spans="1:9" ht="12.75">
      <c r="A73" s="101">
        <v>2</v>
      </c>
      <c r="B73" s="101">
        <v>11</v>
      </c>
      <c r="C73" s="101">
        <f t="shared" si="8"/>
        <v>111</v>
      </c>
      <c r="D73" s="101">
        <f t="shared" si="7"/>
        <v>21</v>
      </c>
      <c r="E73" s="24" t="s">
        <v>972</v>
      </c>
      <c r="F73" s="24" t="e">
        <f>VLOOKUP(D73,'Character sheet'!$X$49:$AB$62,4,FALSE)</f>
        <v>#N/A</v>
      </c>
      <c r="G73" s="24" t="e">
        <f>CONCATENATE("Detection range ",VLOOKUP(F73,HPs!$D$83:$I$98,3,FALSE))</f>
        <v>#N/A</v>
      </c>
      <c r="H73" s="24" t="s">
        <v>599</v>
      </c>
      <c r="I73" s="126"/>
    </row>
    <row r="74" spans="1:9" ht="12.75">
      <c r="A74" s="101">
        <v>2</v>
      </c>
      <c r="B74" s="101">
        <v>15</v>
      </c>
      <c r="C74" s="101">
        <f t="shared" si="8"/>
        <v>115</v>
      </c>
      <c r="D74" s="101">
        <f t="shared" si="7"/>
        <v>22</v>
      </c>
      <c r="E74" s="24" t="s">
        <v>515</v>
      </c>
      <c r="F74" s="24" t="e">
        <f>VLOOKUP(D74,'Character sheet'!$X$49:$AB$62,4,FALSE)</f>
        <v>#N/A</v>
      </c>
      <c r="G74" s="24" t="e">
        <f>CONCATENATE(VLOOKUP(F74,HPs!$N$65:$O$80,2,FALSE)," dimensions detected")</f>
        <v>#N/A</v>
      </c>
      <c r="H74" s="24" t="s">
        <v>673</v>
      </c>
      <c r="I74" s="126"/>
    </row>
    <row r="75" spans="1:9" ht="12.75">
      <c r="A75" s="101">
        <v>2</v>
      </c>
      <c r="B75" s="101">
        <v>21</v>
      </c>
      <c r="C75" s="101">
        <f t="shared" si="8"/>
        <v>121</v>
      </c>
      <c r="D75" s="101">
        <f t="shared" si="7"/>
        <v>23</v>
      </c>
      <c r="E75" s="24" t="s">
        <v>973</v>
      </c>
      <c r="F75" s="24" t="e">
        <f>VLOOKUP(D75,'Character sheet'!$X$49:$AB$62,4,FALSE)</f>
        <v>#N/A</v>
      </c>
      <c r="G75" s="24" t="e">
        <f>CONCATENATE("Range ",VLOOKUP(F75,HPs!$D$83:$I$98,2,FALSE),", vunerable (+1CS) to sonic attacks")</f>
        <v>#N/A</v>
      </c>
      <c r="H75" s="24" t="s">
        <v>674</v>
      </c>
      <c r="I75" s="126"/>
    </row>
    <row r="76" spans="1:9" ht="12.75">
      <c r="A76" s="101">
        <v>2</v>
      </c>
      <c r="B76" s="101">
        <v>29</v>
      </c>
      <c r="C76" s="101">
        <f t="shared" si="8"/>
        <v>129</v>
      </c>
      <c r="D76" s="101">
        <f t="shared" si="7"/>
        <v>24</v>
      </c>
      <c r="E76" s="24" t="s">
        <v>974</v>
      </c>
      <c r="F76" s="24" t="e">
        <f>VLOOKUP(D76,'Character sheet'!$X$49:$AB$62,4,FALSE)</f>
        <v>#N/A</v>
      </c>
      <c r="G76" s="24" t="e">
        <f>CONCATENATE("Range ",VLOOKUP(F76,HPs!$D$83:$I$98,2,FALSE),", -1CS Re &amp; En if cannot block nasty odors")</f>
        <v>#N/A</v>
      </c>
      <c r="H76" s="24" t="s">
        <v>675</v>
      </c>
      <c r="I76" s="126"/>
    </row>
    <row r="77" spans="1:9" ht="12.75">
      <c r="A77" s="101">
        <v>2</v>
      </c>
      <c r="B77" s="101">
        <v>35</v>
      </c>
      <c r="C77" s="101">
        <f t="shared" si="8"/>
        <v>135</v>
      </c>
      <c r="D77" s="101">
        <f t="shared" si="7"/>
        <v>25</v>
      </c>
      <c r="E77" s="24" t="s">
        <v>975</v>
      </c>
      <c r="F77" s="24" t="e">
        <f>VLOOKUP(D77,'Character sheet'!$X$49:$AB$62,4,FALSE)</f>
        <v>#N/A</v>
      </c>
      <c r="G77" s="24" t="e">
        <f>CONCATENATE("Feels ",VLOOKUP(F77,HPs!$D$83:$J$98,7,FALSE))</f>
        <v>#N/A</v>
      </c>
      <c r="H77" s="24" t="s">
        <v>676</v>
      </c>
      <c r="I77" s="126"/>
    </row>
    <row r="78" spans="1:9" ht="12.75">
      <c r="A78" s="101">
        <v>2</v>
      </c>
      <c r="B78" s="101">
        <v>41</v>
      </c>
      <c r="C78" s="101">
        <f t="shared" si="8"/>
        <v>141</v>
      </c>
      <c r="D78" s="101">
        <f t="shared" si="7"/>
        <v>26</v>
      </c>
      <c r="E78" s="24" t="s">
        <v>976</v>
      </c>
      <c r="F78" s="24" t="e">
        <f>VLOOKUP(D78,'Character sheet'!$X$49:$AB$62,4,FALSE)</f>
        <v>#N/A</v>
      </c>
      <c r="G78" s="24" t="e">
        <f>CONCATENATE("Detection range ",VLOOKUP(F78,HPs!$D$83:$I$98,3,FALSE))</f>
        <v>#N/A</v>
      </c>
      <c r="H78" s="24" t="s">
        <v>557</v>
      </c>
      <c r="I78" s="126"/>
    </row>
    <row r="79" spans="1:9" ht="12.75">
      <c r="A79" s="101">
        <v>2</v>
      </c>
      <c r="B79" s="101">
        <v>43</v>
      </c>
      <c r="C79" s="101">
        <f t="shared" si="8"/>
        <v>143</v>
      </c>
      <c r="D79" s="101">
        <f t="shared" si="7"/>
        <v>27</v>
      </c>
      <c r="E79" s="24" t="s">
        <v>977</v>
      </c>
      <c r="F79" s="24" t="e">
        <f>VLOOKUP(D79,'Character sheet'!$X$49:$AB$62,4,FALSE)</f>
        <v>#N/A</v>
      </c>
      <c r="G79" s="24" t="e">
        <f>CONCATENATE("Detection range ",VLOOKUP(F79,HPs!$D$83:$I$98,2,FALSE))</f>
        <v>#N/A</v>
      </c>
      <c r="H79" s="24" t="s">
        <v>600</v>
      </c>
      <c r="I79" s="126"/>
    </row>
    <row r="80" spans="1:9" ht="12.75">
      <c r="A80" s="101">
        <v>2</v>
      </c>
      <c r="B80" s="101">
        <v>45</v>
      </c>
      <c r="C80" s="101">
        <f t="shared" si="8"/>
        <v>145</v>
      </c>
      <c r="D80" s="101">
        <f t="shared" si="7"/>
        <v>28</v>
      </c>
      <c r="E80" s="24" t="s">
        <v>978</v>
      </c>
      <c r="F80" s="24" t="e">
        <f>VLOOKUP(D80,'Character sheet'!$X$49:$AB$62,4,FALSE)</f>
        <v>#N/A</v>
      </c>
      <c r="G80" s="24" t="e">
        <f>CONCATENATE("Sees ",VLOOKUP(F80,HPs!$D$83:$J$98,7,FALSE))</f>
        <v>#N/A</v>
      </c>
      <c r="H80" s="24" t="s">
        <v>677</v>
      </c>
      <c r="I80" s="126"/>
    </row>
    <row r="81" spans="1:9" ht="12.75">
      <c r="A81" s="101">
        <v>2</v>
      </c>
      <c r="B81" s="101">
        <v>51</v>
      </c>
      <c r="C81" s="101">
        <f t="shared" si="8"/>
        <v>151</v>
      </c>
      <c r="D81" s="101">
        <f t="shared" si="7"/>
        <v>29</v>
      </c>
      <c r="E81" s="24" t="s">
        <v>979</v>
      </c>
      <c r="F81" s="24" t="e">
        <f>VLOOKUP(D81,'Character sheet'!$X$49:$AB$62,4,FALSE)</f>
        <v>#N/A</v>
      </c>
      <c r="G81" s="24" t="e">
        <f>CONCATENATE("Sees through ",VLOOKUP(F81,HPs!$N$65:$O$80,2,FALSE)," feet")</f>
        <v>#N/A</v>
      </c>
      <c r="H81" s="24" t="s">
        <v>601</v>
      </c>
      <c r="I81" s="126"/>
    </row>
    <row r="82" spans="1:9" ht="12.75">
      <c r="A82" s="101">
        <v>2</v>
      </c>
      <c r="B82" s="101">
        <v>55</v>
      </c>
      <c r="C82" s="101">
        <f t="shared" si="8"/>
        <v>155</v>
      </c>
      <c r="D82" s="101">
        <f t="shared" si="7"/>
        <v>30</v>
      </c>
      <c r="E82" s="24" t="s">
        <v>980</v>
      </c>
      <c r="F82" s="24" t="e">
        <f>VLOOKUP(D82,'Character sheet'!$X$49:$AB$62,4,FALSE)</f>
        <v>#N/A</v>
      </c>
      <c r="G82" s="24" t="e">
        <f>CONCATENATE("Detection range ",VLOOKUP(F82,HPs!$D$83:$I$98,3,FALSE))</f>
        <v>#N/A</v>
      </c>
      <c r="H82" s="24" t="s">
        <v>602</v>
      </c>
      <c r="I82" s="126"/>
    </row>
    <row r="83" spans="1:9" ht="12.75">
      <c r="A83" s="101">
        <v>2</v>
      </c>
      <c r="B83" s="101">
        <v>57</v>
      </c>
      <c r="C83" s="101">
        <f t="shared" si="8"/>
        <v>157</v>
      </c>
      <c r="D83" s="101">
        <f t="shared" si="7"/>
        <v>31</v>
      </c>
      <c r="E83" s="24" t="s">
        <v>981</v>
      </c>
      <c r="F83" s="24" t="e">
        <f>VLOOKUP(D83,'Character sheet'!$X$49:$AB$62,4,FALSE)</f>
        <v>#N/A</v>
      </c>
      <c r="G83" s="24" t="e">
        <f>CONCATENATE("Detection range ",VLOOKUP(F83,HPs!$D$83:$I$98,4,FALSE))</f>
        <v>#N/A</v>
      </c>
      <c r="H83" s="24" t="s">
        <v>603</v>
      </c>
      <c r="I83" s="126"/>
    </row>
    <row r="84" spans="1:9" ht="12.75">
      <c r="A84" s="101">
        <v>2</v>
      </c>
      <c r="B84" s="101">
        <v>59</v>
      </c>
      <c r="C84" s="101">
        <f t="shared" si="8"/>
        <v>159</v>
      </c>
      <c r="D84" s="101">
        <f t="shared" si="7"/>
        <v>32</v>
      </c>
      <c r="E84" s="24" t="s">
        <v>982</v>
      </c>
      <c r="F84" s="24" t="e">
        <f>VLOOKUP(D84,'Character sheet'!$X$49:$AB$62,4,FALSE)</f>
        <v>#N/A</v>
      </c>
      <c r="G84" s="24" t="e">
        <f>CONCATENATE("Detection range ",VLOOKUP(F84,HPs!$D$83:$I$98,3,FALSE),", vunerable (-1CS) to electric &amp; magnetic attacks")</f>
        <v>#N/A</v>
      </c>
      <c r="H84" s="24" t="s">
        <v>678</v>
      </c>
      <c r="I84" s="126"/>
    </row>
    <row r="85" spans="1:9" ht="12.75">
      <c r="A85" s="101">
        <v>2</v>
      </c>
      <c r="B85" s="101">
        <v>60</v>
      </c>
      <c r="C85" s="101">
        <f t="shared" si="8"/>
        <v>160</v>
      </c>
      <c r="D85" s="101">
        <f t="shared" si="7"/>
        <v>33</v>
      </c>
      <c r="E85" s="24" t="s">
        <v>983</v>
      </c>
      <c r="F85" s="24" t="e">
        <f>VLOOKUP(D85,'Character sheet'!$X$49:$AB$62,4,FALSE)</f>
        <v>#N/A</v>
      </c>
      <c r="G85" s="24" t="e">
        <f>CONCATENATE("Detection range ",VLOOKUP(F85,HPs!$D$83:$I$98,3,FALSE),", vunerable (-1CS) to sonic attacks")</f>
        <v>#N/A</v>
      </c>
      <c r="H85" s="24" t="s">
        <v>679</v>
      </c>
      <c r="I85" s="126"/>
    </row>
    <row r="86" spans="1:9" ht="12.75">
      <c r="A86" s="101">
        <v>2</v>
      </c>
      <c r="B86" s="101">
        <v>63</v>
      </c>
      <c r="C86" s="101">
        <f t="shared" si="8"/>
        <v>163</v>
      </c>
      <c r="D86" s="101">
        <f t="shared" si="7"/>
        <v>34</v>
      </c>
      <c r="E86" s="24" t="s">
        <v>984</v>
      </c>
      <c r="F86" s="24" t="e">
        <f>VLOOKUP(D86,'Character sheet'!$X$49:$AB$62,4,FALSE)</f>
        <v>#N/A</v>
      </c>
      <c r="G86" s="24" t="e">
        <f>CONCATENATE("Sees ",VLOOKUP(F86,HPs!$D$83:$I$98,6,FALSE))</f>
        <v>#N/A</v>
      </c>
      <c r="H86" s="24" t="s">
        <v>680</v>
      </c>
      <c r="I86" s="126"/>
    </row>
    <row r="87" spans="1:9" ht="12.75">
      <c r="A87" s="101">
        <v>2</v>
      </c>
      <c r="B87" s="101">
        <v>70</v>
      </c>
      <c r="C87" s="101">
        <f t="shared" si="8"/>
        <v>170</v>
      </c>
      <c r="D87" s="101">
        <f t="shared" si="7"/>
        <v>35</v>
      </c>
      <c r="E87" s="24" t="s">
        <v>985</v>
      </c>
      <c r="F87" s="24" t="e">
        <f>VLOOKUP(D87,'Character sheet'!$X$49:$AB$62,4,FALSE)</f>
        <v>#N/A</v>
      </c>
      <c r="G87" s="24" t="e">
        <f>CONCATENATE("Power rank value ",VLOOKUP(F87,HPs!$N$65:$O$80,2,FALSE),", vision vunerable (-1CS) to extreme heat")</f>
        <v>#N/A</v>
      </c>
      <c r="H87" s="24" t="s">
        <v>681</v>
      </c>
      <c r="I87" s="126"/>
    </row>
    <row r="88" spans="1:9" ht="12.75">
      <c r="A88" s="101">
        <v>2</v>
      </c>
      <c r="B88" s="101">
        <v>80</v>
      </c>
      <c r="C88" s="101">
        <f t="shared" si="8"/>
        <v>180</v>
      </c>
      <c r="D88" s="101">
        <f t="shared" si="7"/>
        <v>36</v>
      </c>
      <c r="E88" s="24" t="s">
        <v>986</v>
      </c>
      <c r="F88" s="24" t="e">
        <f>VLOOKUP(D88,'Character sheet'!$X$49:$AB$62,4,FALSE)</f>
        <v>#N/A</v>
      </c>
      <c r="G88" s="24" t="e">
        <f>CONCATENATE("Power rank value ",VLOOKUP(F88,HPs!$N$65:$O$80,2,FALSE))</f>
        <v>#N/A</v>
      </c>
      <c r="H88" s="24" t="s">
        <v>682</v>
      </c>
      <c r="I88" s="126"/>
    </row>
    <row r="89" spans="1:9" ht="12.75">
      <c r="A89" s="101">
        <v>2</v>
      </c>
      <c r="B89" s="101">
        <v>91</v>
      </c>
      <c r="C89" s="101">
        <f t="shared" si="8"/>
        <v>191</v>
      </c>
      <c r="D89" s="101">
        <f t="shared" si="7"/>
        <v>37</v>
      </c>
      <c r="E89" s="24" t="s">
        <v>987</v>
      </c>
      <c r="F89" s="24" t="e">
        <f>VLOOKUP(D89,'Character sheet'!$X$49:$AB$62,4,FALSE)</f>
        <v>#N/A</v>
      </c>
      <c r="G89" s="24" t="e">
        <f>CONCATENATE("Power rank value ",VLOOKUP(F89,HPs!$N$65:$O$80,2,FALSE))</f>
        <v>#N/A</v>
      </c>
      <c r="H89" s="24" t="s">
        <v>604</v>
      </c>
      <c r="I89" s="128"/>
    </row>
    <row r="90" spans="1:9" ht="12.75">
      <c r="A90" s="81">
        <v>2</v>
      </c>
      <c r="B90" s="81">
        <v>95</v>
      </c>
      <c r="C90" s="81">
        <f t="shared" si="8"/>
        <v>195</v>
      </c>
      <c r="D90" s="101">
        <f t="shared" si="7"/>
        <v>38</v>
      </c>
      <c r="E90" s="82" t="s">
        <v>414</v>
      </c>
      <c r="F90" s="24" t="e">
        <f>VLOOKUP(D90,'Character sheet'!$X$49:$AB$62,4,FALSE)</f>
        <v>#N/A</v>
      </c>
      <c r="G90" s="24" t="e">
        <f>CONCATENATE("Power rank value ",VLOOKUP(F90,HPs!$N$65:$O$80,2,FALSE),", improved (+1CS) vision in water")</f>
        <v>#N/A</v>
      </c>
      <c r="H90" s="24" t="s">
        <v>605</v>
      </c>
      <c r="I90" s="128"/>
    </row>
    <row r="91" spans="1:9" ht="12.75">
      <c r="A91" s="105">
        <v>2</v>
      </c>
      <c r="B91" s="105">
        <v>99</v>
      </c>
      <c r="C91" s="105">
        <f t="shared" si="8"/>
        <v>199</v>
      </c>
      <c r="D91" s="105">
        <f t="shared" si="7"/>
        <v>39</v>
      </c>
      <c r="E91" s="104" t="s">
        <v>988</v>
      </c>
      <c r="F91" s="24" t="e">
        <f>VLOOKUP(D91,'Character sheet'!$X$49:$AB$62,4,FALSE)</f>
        <v>#N/A</v>
      </c>
      <c r="G91" s="24" t="e">
        <f>CONCATENATE("Detect ",VLOOKUP(F91,HPs!$D$83:$K$98,8,FALSE)," weaknesses")</f>
        <v>#N/A</v>
      </c>
      <c r="H91" s="24" t="s">
        <v>741</v>
      </c>
      <c r="I91" s="128"/>
    </row>
    <row r="92" spans="1:9" ht="12.75">
      <c r="A92" s="101">
        <v>3</v>
      </c>
      <c r="B92" s="101">
        <v>1</v>
      </c>
      <c r="C92" s="101">
        <f>B92+200</f>
        <v>201</v>
      </c>
      <c r="D92" s="101">
        <f t="shared" si="7"/>
        <v>40</v>
      </c>
      <c r="E92" s="24" t="s">
        <v>989</v>
      </c>
      <c r="F92" s="24" t="e">
        <f>VLOOKUP(D92,'Character sheet'!$X$49:$AB$62,4,FALSE)</f>
        <v>#N/A</v>
      </c>
      <c r="G92" s="24" t="e">
        <f>CONCATENATE("Absorp up to ",VLOOKUP(F92,HPs!$N$65:$O$80,2,FALSE)," points and convert to health")</f>
        <v>#N/A</v>
      </c>
      <c r="H92" s="24" t="s">
        <v>742</v>
      </c>
      <c r="I92" s="128"/>
    </row>
    <row r="93" spans="1:9" ht="12.75">
      <c r="A93" s="101">
        <v>3</v>
      </c>
      <c r="B93" s="101">
        <v>8</v>
      </c>
      <c r="C93" s="101">
        <f aca="true" t="shared" si="9" ref="C93:C112">B93+200</f>
        <v>208</v>
      </c>
      <c r="D93" s="101">
        <f t="shared" si="7"/>
        <v>41</v>
      </c>
      <c r="E93" s="24" t="s">
        <v>990</v>
      </c>
      <c r="F93" s="24" t="e">
        <f>VLOOKUP(D93,'Character sheet'!$X$49:$AB$62,4,FALSE)</f>
        <v>#N/A</v>
      </c>
      <c r="G93" s="24" t="e">
        <f>CONCATENATE("Control range ",VLOOKUP(F93,HPs!$D$83:$I$98,3,FALSE),", intensity control ",VLOOKUP(F93,HPs!$N$65:$P$80,2,FALSE))</f>
        <v>#N/A</v>
      </c>
      <c r="H93" s="24" t="s">
        <v>743</v>
      </c>
      <c r="I93" s="128"/>
    </row>
    <row r="94" spans="1:9" ht="12.75">
      <c r="A94" s="101">
        <v>3</v>
      </c>
      <c r="B94" s="101">
        <v>11</v>
      </c>
      <c r="C94" s="101">
        <f t="shared" si="9"/>
        <v>211</v>
      </c>
      <c r="D94" s="101">
        <f t="shared" si="7"/>
        <v>42</v>
      </c>
      <c r="E94" s="24" t="s">
        <v>991</v>
      </c>
      <c r="F94" s="24" t="e">
        <f>VLOOKUP(D94,'Character sheet'!$X$49:$AB$62,4,FALSE)</f>
        <v>#N/A</v>
      </c>
      <c r="G94" s="24" t="e">
        <f>CONCATENATE("Control range ",VLOOKUP(F94,HPs!$D$83:$I$98,3,FALSE))</f>
        <v>#N/A</v>
      </c>
      <c r="H94" s="24" t="s">
        <v>744</v>
      </c>
      <c r="I94" s="128"/>
    </row>
    <row r="95" spans="1:9" ht="12.75">
      <c r="A95" s="101">
        <v>3</v>
      </c>
      <c r="B95" s="101">
        <v>16</v>
      </c>
      <c r="C95" s="101">
        <f t="shared" si="9"/>
        <v>216</v>
      </c>
      <c r="D95" s="101">
        <f t="shared" si="7"/>
        <v>43</v>
      </c>
      <c r="E95" s="24" t="s">
        <v>992</v>
      </c>
      <c r="F95" s="24" t="e">
        <f>VLOOKUP(D95,'Character sheet'!$X$49:$AB$62,4,FALSE)</f>
        <v>#N/A</v>
      </c>
      <c r="G95" s="24" t="e">
        <f>CONCATENATE("Control range ",VLOOKUP(F95,HPs!$D$83:$I$98,3,FALSE))</f>
        <v>#N/A</v>
      </c>
      <c r="H95" s="24" t="s">
        <v>745</v>
      </c>
      <c r="I95" s="128"/>
    </row>
    <row r="96" spans="1:9" ht="12.75">
      <c r="A96" s="101">
        <v>3</v>
      </c>
      <c r="B96" s="101">
        <v>19</v>
      </c>
      <c r="C96" s="101">
        <f t="shared" si="9"/>
        <v>219</v>
      </c>
      <c r="D96" s="101">
        <f t="shared" si="7"/>
        <v>44</v>
      </c>
      <c r="E96" s="24" t="s">
        <v>993</v>
      </c>
      <c r="F96" s="24" t="e">
        <f>VLOOKUP(D96,'Character sheet'!$X$49:$AB$62,4,FALSE)</f>
        <v>#N/A</v>
      </c>
      <c r="G96" s="24" t="e">
        <f>CONCATENATE("Control range ",VLOOKUP(F96,HPs!$D$83:$I$98,3,FALSE),", intensity control ",VLOOKUP(F96,HPs!$N$65:$P$80,2,FALSE),", resistance ",VLOOKUP(F96,HPs!$N$65:$P$80,2,FALSE))</f>
        <v>#N/A</v>
      </c>
      <c r="H96" s="24" t="s">
        <v>746</v>
      </c>
      <c r="I96" s="128"/>
    </row>
    <row r="97" spans="1:9" ht="12.75">
      <c r="A97" s="101">
        <v>3</v>
      </c>
      <c r="B97" s="101">
        <v>26</v>
      </c>
      <c r="C97" s="101">
        <f t="shared" si="9"/>
        <v>226</v>
      </c>
      <c r="D97" s="101">
        <f t="shared" si="7"/>
        <v>45</v>
      </c>
      <c r="E97" s="24" t="s">
        <v>994</v>
      </c>
      <c r="F97" s="24" t="e">
        <f>VLOOKUP(D97,'Character sheet'!$X$49:$AB$62,4,FALSE)</f>
        <v>#N/A</v>
      </c>
      <c r="G97" s="24" t="e">
        <f>CONCATENATE("Control range ",VLOOKUP(F97,HPs!$D$83:$I$98,3,FALSE),", energy emission range ",VLOOKUP(F97,HPs!$D$83:$I$98,2,FALSE))</f>
        <v>#N/A</v>
      </c>
      <c r="H97" s="24" t="s">
        <v>606</v>
      </c>
      <c r="I97" s="128"/>
    </row>
    <row r="98" spans="1:9" ht="12.75">
      <c r="A98" s="101">
        <v>3</v>
      </c>
      <c r="B98" s="101">
        <v>29</v>
      </c>
      <c r="C98" s="101">
        <f t="shared" si="9"/>
        <v>229</v>
      </c>
      <c r="D98" s="101">
        <f t="shared" si="7"/>
        <v>46</v>
      </c>
      <c r="E98" s="24" t="s">
        <v>995</v>
      </c>
      <c r="F98" s="24" t="e">
        <f>VLOOKUP(D98,'Character sheet'!$X$49:$AB$62,4,FALSE)</f>
        <v>#N/A</v>
      </c>
      <c r="G98" s="24" t="e">
        <f>CONCATENATE("Control range ",VLOOKUP(F98,HPs!$D$83:$I$98,3,FALSE),", continues to exist ",'Character sheet'!D17," (psyche rank) rounds")</f>
        <v>#N/A</v>
      </c>
      <c r="H98" s="24" t="s">
        <v>607</v>
      </c>
      <c r="I98" s="128"/>
    </row>
    <row r="99" spans="1:9" ht="12.75">
      <c r="A99" s="101">
        <v>3</v>
      </c>
      <c r="B99" s="101">
        <v>32</v>
      </c>
      <c r="C99" s="101">
        <f t="shared" si="9"/>
        <v>232</v>
      </c>
      <c r="D99" s="101">
        <f t="shared" si="7"/>
        <v>47</v>
      </c>
      <c r="E99" s="24" t="s">
        <v>996</v>
      </c>
      <c r="F99" s="24" t="e">
        <f>VLOOKUP(D99,'Character sheet'!$X$49:$AB$62,4,FALSE)</f>
        <v>#N/A</v>
      </c>
      <c r="G99" s="24" t="e">
        <f>CONCATENATE("Absorp up to ",VLOOKUP(F99,HPs!$N$65:$O$80,2,FALSE)," energy, can be released with -2CS intensity")</f>
        <v>#N/A</v>
      </c>
      <c r="H99" s="24" t="s">
        <v>608</v>
      </c>
      <c r="I99" s="128"/>
    </row>
    <row r="100" spans="1:9" ht="12.75">
      <c r="A100" s="101">
        <v>3</v>
      </c>
      <c r="B100" s="101">
        <v>37</v>
      </c>
      <c r="C100" s="101">
        <f t="shared" si="9"/>
        <v>237</v>
      </c>
      <c r="D100" s="101">
        <f t="shared" si="7"/>
        <v>48</v>
      </c>
      <c r="E100" s="24" t="s">
        <v>997</v>
      </c>
      <c r="F100" s="24" t="e">
        <f>VLOOKUP(D100,'Character sheet'!$X$49:$AB$62,4,FALSE)</f>
        <v>#N/A</v>
      </c>
      <c r="G100" s="24" t="e">
        <f>CONCATENATE("Power ",VLOOKUP(F100,HPs!$N$65:$O$80,2,FALSE),", range ",VLOOKUP(F100,HPs!$D$83:$I$98,2,FALSE),", Str, End, Psy and powers drop 1pt/hour")</f>
        <v>#N/A</v>
      </c>
      <c r="H100" s="24" t="s">
        <v>609</v>
      </c>
      <c r="I100" s="128"/>
    </row>
    <row r="101" spans="1:9" ht="12.75">
      <c r="A101" s="101">
        <v>3</v>
      </c>
      <c r="B101" s="101">
        <v>39</v>
      </c>
      <c r="C101" s="101">
        <f t="shared" si="9"/>
        <v>239</v>
      </c>
      <c r="D101" s="101">
        <f t="shared" si="7"/>
        <v>49</v>
      </c>
      <c r="E101" s="24" t="s">
        <v>998</v>
      </c>
      <c r="F101" s="24" t="e">
        <f>VLOOKUP(D101,'Character sheet'!$X$49:$AB$62,4,FALSE)</f>
        <v>#N/A</v>
      </c>
      <c r="G101" s="24" t="e">
        <f>CONCATENATE("Control range ",VLOOKUP(F101,HPs!$D$83:$I$98,3,FALSE),", intensity control ",VLOOKUP(F101,HPs!$N$65:$P$80,3,FALSE),", resistance ",VLOOKUP(F101,HPs!$N$65:$P$80,2,FALSE))</f>
        <v>#N/A</v>
      </c>
      <c r="H101" s="24" t="s">
        <v>747</v>
      </c>
      <c r="I101" s="126"/>
    </row>
    <row r="102" spans="1:9" ht="12.75">
      <c r="A102" s="101">
        <v>3</v>
      </c>
      <c r="B102" s="101">
        <v>46</v>
      </c>
      <c r="C102" s="101">
        <f t="shared" si="9"/>
        <v>246</v>
      </c>
      <c r="D102" s="101">
        <f t="shared" si="7"/>
        <v>50</v>
      </c>
      <c r="E102" s="24" t="s">
        <v>999</v>
      </c>
      <c r="F102" s="24" t="e">
        <f>VLOOKUP(D102,'Character sheet'!$X$49:$AB$62,4,FALSE)</f>
        <v>#N/A</v>
      </c>
      <c r="G102" s="24" t="e">
        <f>CONCATENATE("Control range ",VLOOKUP(F102,HPs!$D$83:$I$98,3,FALSE),", intensity control ",VLOOKUP(F102,HPs!$N$65:$P$80,3,FALSE))</f>
        <v>#N/A</v>
      </c>
      <c r="H102" s="24" t="s">
        <v>748</v>
      </c>
      <c r="I102" s="126"/>
    </row>
    <row r="103" spans="1:9" ht="12.75">
      <c r="A103" s="101">
        <v>3</v>
      </c>
      <c r="B103" s="101">
        <v>50</v>
      </c>
      <c r="C103" s="101">
        <f t="shared" si="9"/>
        <v>250</v>
      </c>
      <c r="D103" s="101">
        <f t="shared" si="7"/>
        <v>51</v>
      </c>
      <c r="E103" s="24" t="s">
        <v>1000</v>
      </c>
      <c r="F103" s="24" t="e">
        <f>VLOOKUP(D103,'Character sheet'!$X$49:$AB$62,4,FALSE)</f>
        <v>#N/A</v>
      </c>
      <c r="G103" s="24" t="e">
        <f>CONCATENATE("Control range ",VLOOKUP(F103,HPs!$D$83:$I$98,3,FALSE),", intensity control ",VLOOKUP(F103,HPs!$N$65:$P$80,3,FALSE),", resistance ",VLOOKUP(F103,HPs!$N$65:$P$80,2,FALSE))</f>
        <v>#N/A</v>
      </c>
      <c r="H103" s="24" t="s">
        <v>749</v>
      </c>
      <c r="I103" s="126"/>
    </row>
    <row r="104" spans="1:9" ht="12.75">
      <c r="A104" s="101">
        <v>3</v>
      </c>
      <c r="B104" s="101">
        <v>54</v>
      </c>
      <c r="C104" s="101">
        <f t="shared" si="9"/>
        <v>254</v>
      </c>
      <c r="D104" s="101">
        <f t="shared" si="7"/>
        <v>52</v>
      </c>
      <c r="E104" s="24" t="s">
        <v>1001</v>
      </c>
      <c r="F104" s="24" t="e">
        <f>VLOOKUP(D104,'Character sheet'!$X$49:$AB$62,4,FALSE)</f>
        <v>#N/A</v>
      </c>
      <c r="G104" s="24" t="e">
        <f>CONCATENATE("Control range ",VLOOKUP(F104,HPs!$D$83:$I$98,3,FALSE),", intensity control ",VLOOKUP(F104,HPs!$N$65:$O$80,2,FALSE))</f>
        <v>#N/A</v>
      </c>
      <c r="H104" s="24" t="s">
        <v>750</v>
      </c>
      <c r="I104" s="126"/>
    </row>
    <row r="105" spans="1:9" ht="12.75">
      <c r="A105" s="101">
        <v>3</v>
      </c>
      <c r="B105" s="101">
        <v>60</v>
      </c>
      <c r="C105" s="101">
        <f t="shared" si="9"/>
        <v>260</v>
      </c>
      <c r="D105" s="101">
        <f t="shared" si="7"/>
        <v>53</v>
      </c>
      <c r="E105" s="24" t="s">
        <v>1002</v>
      </c>
      <c r="F105" s="24" t="e">
        <f>VLOOKUP(D105,'Character sheet'!$X$49:$AB$62,4,FALSE)</f>
        <v>#N/A</v>
      </c>
      <c r="G105" s="24" t="e">
        <f>CONCATENATE("Control range ",VLOOKUP(F105,HPs!$D$83:$I$98,3,FALSE),", +1CS light resistance")</f>
        <v>#N/A</v>
      </c>
      <c r="H105" s="24" t="s">
        <v>751</v>
      </c>
      <c r="I105" s="126"/>
    </row>
    <row r="106" spans="1:9" ht="12.75">
      <c r="A106" s="101">
        <v>3</v>
      </c>
      <c r="B106" s="101">
        <v>67</v>
      </c>
      <c r="C106" s="101">
        <f t="shared" si="9"/>
        <v>267</v>
      </c>
      <c r="D106" s="101">
        <f t="shared" si="7"/>
        <v>54</v>
      </c>
      <c r="E106" s="24" t="s">
        <v>1003</v>
      </c>
      <c r="F106" s="24" t="e">
        <f>VLOOKUP(D106,'Character sheet'!$X$49:$AB$62,4,FALSE)</f>
        <v>#N/A</v>
      </c>
      <c r="G106" s="24" t="e">
        <f>CONCATENATE("Control range ",VLOOKUP(F106,HPs!$D$83:$I$98,3,FALSE),", intensity control ",VLOOKUP(F106,HPs!$N$65:$O$80,2,FALSE))</f>
        <v>#N/A</v>
      </c>
      <c r="H106" s="24" t="s">
        <v>752</v>
      </c>
      <c r="I106" s="126"/>
    </row>
    <row r="107" spans="1:9" ht="12.75">
      <c r="A107" s="101">
        <v>3</v>
      </c>
      <c r="B107" s="101">
        <v>74</v>
      </c>
      <c r="C107" s="101">
        <f t="shared" si="9"/>
        <v>274</v>
      </c>
      <c r="D107" s="101">
        <f t="shared" si="7"/>
        <v>55</v>
      </c>
      <c r="E107" s="24" t="s">
        <v>1004</v>
      </c>
      <c r="F107" s="24" t="e">
        <f>VLOOKUP(D107,'Character sheet'!$X$49:$AB$62,4,FALSE)</f>
        <v>#N/A</v>
      </c>
      <c r="G107" s="24" t="e">
        <f>CONCATENATE("Control range ",VLOOKUP(F107,HPs!$D$83:$I$98,3,FALSE),", intensity control and resistance ",VLOOKUP(F107,HPs!$N$65:$O$80,2,FALSE))</f>
        <v>#N/A</v>
      </c>
      <c r="H107" s="24" t="s">
        <v>753</v>
      </c>
      <c r="I107" s="126"/>
    </row>
    <row r="108" spans="1:9" ht="12.75">
      <c r="A108" s="101">
        <v>3</v>
      </c>
      <c r="B108" s="101">
        <v>78</v>
      </c>
      <c r="C108" s="101">
        <f t="shared" si="9"/>
        <v>278</v>
      </c>
      <c r="D108" s="101">
        <f t="shared" si="7"/>
        <v>56</v>
      </c>
      <c r="E108" s="24" t="s">
        <v>1005</v>
      </c>
      <c r="F108" s="24" t="e">
        <f>VLOOKUP(D108,'Character sheet'!$X$49:$AB$62,4,FALSE)</f>
        <v>#N/A</v>
      </c>
      <c r="G108" s="24" t="e">
        <f>CONCATENATE("Control range ",VLOOKUP(F108,HPs!$D$83:$I$98,3,FALSE),", intensity control ",VLOOKUP(F108,HPs!$N$65:$O$80,2,FALSE),", resistance ",VLOOKUP(F108,HPs!$N$65:$P$80,3,FALSE))</f>
        <v>#N/A</v>
      </c>
      <c r="H108" s="24" t="s">
        <v>754</v>
      </c>
      <c r="I108" s="126"/>
    </row>
    <row r="109" spans="1:9" ht="12.75">
      <c r="A109" s="101">
        <v>3</v>
      </c>
      <c r="B109" s="101">
        <v>81</v>
      </c>
      <c r="C109" s="101">
        <f t="shared" si="9"/>
        <v>281</v>
      </c>
      <c r="D109" s="101">
        <f t="shared" si="7"/>
        <v>57</v>
      </c>
      <c r="E109" s="24" t="s">
        <v>1006</v>
      </c>
      <c r="F109" s="24" t="e">
        <f>VLOOKUP(D109,'Character sheet'!$X$49:$AB$62,4,FALSE)</f>
        <v>#N/A</v>
      </c>
      <c r="G109" s="24" t="e">
        <f>CONCATENATE("Control range ",VLOOKUP(F109,HPs!$D$83:$I$98,3,FALSE),", intensity control ",VLOOKUP(F109,HPs!$N$65:$O$80,2,FALSE),", resistance ",VLOOKUP(F109,HPs!$N$65:$P$80,3,FALSE))</f>
        <v>#N/A</v>
      </c>
      <c r="H109" s="24" t="s">
        <v>755</v>
      </c>
      <c r="I109" s="126"/>
    </row>
    <row r="110" spans="1:9" ht="12.75">
      <c r="A110" s="101">
        <v>3</v>
      </c>
      <c r="B110" s="101">
        <v>85</v>
      </c>
      <c r="C110" s="101">
        <f t="shared" si="9"/>
        <v>285</v>
      </c>
      <c r="D110" s="101">
        <f t="shared" si="7"/>
        <v>58</v>
      </c>
      <c r="E110" s="24" t="s">
        <v>1007</v>
      </c>
      <c r="F110" s="24" t="e">
        <f>VLOOKUP(D110,'Character sheet'!$X$49:$AB$62,4,FALSE)</f>
        <v>#N/A</v>
      </c>
      <c r="G110" s="24" t="e">
        <f>CONCATENATE("Range ",VLOOKUP(F110,HPs!$D$83:$I$98,3,FALSE),", intensity incr. (power FEAT) ",VLOOKUP(F110,HPs!$N$65:$O$80,2,FALSE),", intensity decr. ",VLOOKUP(F110,HPs!$N$65:$P$80,3,FALSE))</f>
        <v>#N/A</v>
      </c>
      <c r="H110" s="24" t="s">
        <v>756</v>
      </c>
      <c r="I110" s="126"/>
    </row>
    <row r="111" spans="1:9" ht="12.75">
      <c r="A111" s="101">
        <v>3</v>
      </c>
      <c r="B111" s="101">
        <v>91</v>
      </c>
      <c r="C111" s="101">
        <f t="shared" si="9"/>
        <v>291</v>
      </c>
      <c r="D111" s="101">
        <f t="shared" si="7"/>
        <v>59</v>
      </c>
      <c r="E111" s="24" t="s">
        <v>1008</v>
      </c>
      <c r="F111" s="24" t="e">
        <f>VLOOKUP(D111,'Character sheet'!$X$49:$AB$62,4,FALSE)</f>
        <v>#N/A</v>
      </c>
      <c r="G111" s="24" t="e">
        <f>CONCATENATE("Control range ",VLOOKUP(F111,HPs!$D$83:$I$98,3,FALSE),", intensity control ",VLOOKUP(F111,HPs!$N$65:$P$80,3,FALSE),", resistance ",VLOOKUP(F111,HPs!$N$65:$P$80,2,FALSE))</f>
        <v>#N/A</v>
      </c>
      <c r="H111" s="24" t="s">
        <v>757</v>
      </c>
      <c r="I111" s="126"/>
    </row>
    <row r="112" spans="1:9" ht="12.75">
      <c r="A112" s="105">
        <v>3</v>
      </c>
      <c r="B112" s="105">
        <v>98</v>
      </c>
      <c r="C112" s="105">
        <f t="shared" si="9"/>
        <v>298</v>
      </c>
      <c r="D112" s="105">
        <f t="shared" si="7"/>
        <v>60</v>
      </c>
      <c r="E112" s="104" t="s">
        <v>1009</v>
      </c>
      <c r="F112" s="24" t="e">
        <f>VLOOKUP(D112,'Character sheet'!$X$49:$AB$62,4,FALSE)</f>
        <v>#N/A</v>
      </c>
      <c r="G112" s="24" t="e">
        <f>CONCATENATE("Control range ",VLOOKUP(F112,HPs!$D$83:$I$98,3,FALSE),", intensity control ",VLOOKUP(F112,HPs!$N$65:$P$80,2,FALSE),", resistance ",VLOOKUP(F112,HPs!$N$65:$P$80,3,FALSE))</f>
        <v>#N/A</v>
      </c>
      <c r="H112" s="24" t="s">
        <v>610</v>
      </c>
      <c r="I112" s="126"/>
    </row>
    <row r="113" spans="1:9" ht="12.75">
      <c r="A113" s="129">
        <v>4</v>
      </c>
      <c r="B113" s="101">
        <v>1</v>
      </c>
      <c r="C113" s="101">
        <f>B113+300</f>
        <v>301</v>
      </c>
      <c r="D113" s="101">
        <f t="shared" si="7"/>
        <v>61</v>
      </c>
      <c r="E113" s="130" t="s">
        <v>1015</v>
      </c>
      <c r="F113" s="24" t="e">
        <f>VLOOKUP(D113,'Character sheet'!$X$49:$AB$62,4,FALSE)</f>
        <v>#N/A</v>
      </c>
      <c r="G113" s="24" t="e">
        <f>CONCATENATE("Range ",VLOOKUP(F113,HPs!$D$83:$I$98,2,FALSE),", resistance to cold ",VLOOKUP(F113,HPs!$N$65:$P$80,3,FALSE),", from ",$P$17)</f>
        <v>#N/A</v>
      </c>
      <c r="H113" s="24" t="e">
        <f>CONCATENATE("Ty FEAT drops temp ",VLOOKUP(F113,HPs!$N$65:$P$80,2,FALSE)*10," ºF, Re FEAT drops temp ",VLOOKUP(F113,HPs!$N$65:$P$80,2,FALSE)*20," ºF, Un FEAT drops temp ",VLOOKUP(F113,HPs!$N$65:$P$80,2,FALSE)*40," ºF.")</f>
        <v>#N/A</v>
      </c>
      <c r="I113" s="126"/>
    </row>
    <row r="114" spans="1:11" ht="12.75">
      <c r="A114" s="129">
        <v>4</v>
      </c>
      <c r="B114" s="101">
        <v>11</v>
      </c>
      <c r="C114" s="101">
        <f aca="true" t="shared" si="10" ref="C114:C126">B114+300</f>
        <v>311</v>
      </c>
      <c r="D114" s="101">
        <f t="shared" si="7"/>
        <v>62</v>
      </c>
      <c r="E114" s="130" t="s">
        <v>1016</v>
      </c>
      <c r="F114" s="24" t="e">
        <f>VLOOKUP(D114,'Character sheet'!$X$49:$AB$62,4,FALSE)</f>
        <v>#N/A</v>
      </c>
      <c r="G114" s="24" t="e">
        <f>CONCATENATE("Range ",VLOOKUP(K114,HPs!$D$83:$I$98,2,FALSE),", damage ",VLOOKUP(F114,HPs!$N$65:$P$80,3,FALSE),", resistance ",VLOOKUP(F114,HPs!$N$65:$P$80,3,FALSE),", from ",$P$17)</f>
        <v>#N/A</v>
      </c>
      <c r="H114" s="24" t="s">
        <v>559</v>
      </c>
      <c r="I114" s="126"/>
      <c r="K114" s="24" t="e">
        <f>IF(VLOOKUP(D114,'Character sheet'!$X$49:$Z$62,3,FALSE)&gt;1,"Feeble",Powers!F114)</f>
        <v>#N/A</v>
      </c>
    </row>
    <row r="115" spans="1:9" ht="12.75">
      <c r="A115" s="129">
        <v>4</v>
      </c>
      <c r="B115" s="101">
        <v>21</v>
      </c>
      <c r="C115" s="101">
        <f t="shared" si="10"/>
        <v>321</v>
      </c>
      <c r="D115" s="101">
        <f t="shared" si="7"/>
        <v>63</v>
      </c>
      <c r="E115" s="130" t="s">
        <v>1017</v>
      </c>
      <c r="F115" s="24" t="e">
        <f>VLOOKUP(D115,'Character sheet'!$X$49:$AB$62,4,FALSE)</f>
        <v>#N/A</v>
      </c>
      <c r="G115" s="24" t="e">
        <f>CONCATENATE("Duration ",VLOOKUP(F115,HPs!$N$65:$P$80,3,FALSE)," rounds, -2CS res. plasma, +4CS res. light/heat/flame/vibr./sonic")</f>
        <v>#N/A</v>
      </c>
      <c r="H115" s="24" t="s">
        <v>560</v>
      </c>
      <c r="I115" s="126"/>
    </row>
    <row r="116" spans="1:9" ht="12.75">
      <c r="A116" s="129">
        <v>4</v>
      </c>
      <c r="B116" s="101">
        <v>23</v>
      </c>
      <c r="C116" s="101">
        <f t="shared" si="10"/>
        <v>323</v>
      </c>
      <c r="D116" s="101">
        <f t="shared" si="7"/>
        <v>64</v>
      </c>
      <c r="E116" s="130" t="s">
        <v>1018</v>
      </c>
      <c r="F116" s="24" t="e">
        <f>VLOOKUP(D116,'Character sheet'!$X$49:$AB$62,4,FALSE)</f>
        <v>#N/A</v>
      </c>
      <c r="G116" s="24" t="e">
        <f>CONCATENATE("Range ",VLOOKUP(F116,HPs!$D$83:$I$98,2,FALSE),", damage ",VLOOKUP(F116,HPs!$N$65:$P$80,3,FALSE),", from ",$P$17)</f>
        <v>#N/A</v>
      </c>
      <c r="H116" s="131" t="s">
        <v>561</v>
      </c>
      <c r="I116" s="126"/>
    </row>
    <row r="117" spans="1:9" ht="12.75">
      <c r="A117" s="129">
        <v>4</v>
      </c>
      <c r="B117" s="101">
        <v>35</v>
      </c>
      <c r="C117" s="101">
        <f t="shared" si="10"/>
        <v>335</v>
      </c>
      <c r="D117" s="101">
        <f t="shared" si="7"/>
        <v>65</v>
      </c>
      <c r="E117" s="130" t="s">
        <v>1019</v>
      </c>
      <c r="F117" s="24" t="e">
        <f>VLOOKUP(D117,'Character sheet'!$X$49:$AB$62,4,FALSE)</f>
        <v>#N/A</v>
      </c>
      <c r="G117" s="24" t="e">
        <f>CONCATENATE("Range ",VLOOKUP(F117,HPs!$D$83:$I$98,2,FALSE),", damage ",VLOOKUP(F117,HPs!$N$65:$P$80,3,FALSE),", from ",$P$17)</f>
        <v>#N/A</v>
      </c>
      <c r="H117" s="24" t="s">
        <v>562</v>
      </c>
      <c r="I117" s="126"/>
    </row>
    <row r="118" spans="1:9" ht="12.75">
      <c r="A118" s="129">
        <v>4</v>
      </c>
      <c r="B118" s="101">
        <v>38</v>
      </c>
      <c r="C118" s="101">
        <f t="shared" si="10"/>
        <v>338</v>
      </c>
      <c r="D118" s="101">
        <f t="shared" si="7"/>
        <v>66</v>
      </c>
      <c r="E118" s="130" t="s">
        <v>1020</v>
      </c>
      <c r="F118" s="24" t="e">
        <f>VLOOKUP(D118,'Character sheet'!$X$49:$AB$62,4,FALSE)</f>
        <v>#N/A</v>
      </c>
      <c r="G118" s="24" t="e">
        <f>CONCATENATE("Range ",VLOOKUP(F118,HPs!$D$83:$I$98,2,FALSE),", heat generation ",VLOOKUP(F118,HPs!$N$65:$P$80,3,FALSE)," points, from ",$P$17)</f>
        <v>#N/A</v>
      </c>
      <c r="H118" s="131" t="s">
        <v>561</v>
      </c>
      <c r="I118" s="126"/>
    </row>
    <row r="119" spans="1:9" ht="12.75">
      <c r="A119" s="129">
        <v>4</v>
      </c>
      <c r="B119" s="101">
        <v>43</v>
      </c>
      <c r="C119" s="101">
        <f t="shared" si="10"/>
        <v>343</v>
      </c>
      <c r="D119" s="101">
        <f aca="true" t="shared" si="11" ref="D119:D182">D118+1</f>
        <v>67</v>
      </c>
      <c r="E119" s="130" t="s">
        <v>1021</v>
      </c>
      <c r="F119" s="24" t="e">
        <f>VLOOKUP(D119,'Character sheet'!$X$49:$AB$62,4,FALSE)</f>
        <v>#N/A</v>
      </c>
      <c r="G119" s="24" t="e">
        <f>CONCATENATE("Range ",VLOOKUP(F119,HPs!$D$83:$I$98,2,FALSE),", damage ",VLOOKUP(F119,HPs!$N$65:$P$80,3,FALSE),", resistance ",VLOOKUP(F119,HPs!$N$65:$P$80,3,FALSE),", from ",$P$17)</f>
        <v>#N/A</v>
      </c>
      <c r="H119" s="24" t="s">
        <v>758</v>
      </c>
      <c r="I119" s="126"/>
    </row>
    <row r="120" spans="1:9" ht="12.75">
      <c r="A120" s="129">
        <v>4</v>
      </c>
      <c r="B120" s="101">
        <v>53</v>
      </c>
      <c r="C120" s="101">
        <f t="shared" si="10"/>
        <v>353</v>
      </c>
      <c r="D120" s="101">
        <f t="shared" si="11"/>
        <v>68</v>
      </c>
      <c r="E120" s="130" t="s">
        <v>1022</v>
      </c>
      <c r="F120" s="24" t="e">
        <f>VLOOKUP(D120,'Character sheet'!$X$49:$AB$62,4,FALSE)</f>
        <v>#N/A</v>
      </c>
      <c r="G120" s="24" t="e">
        <f>CONCATENATE("Range ",VLOOKUP(F120,HPs!$D$83:$I$98,2,FALSE),", damage ",VLOOKUP(F120,HPs!$N$65:$P$80,3,FALSE),", from ",$P$17)</f>
        <v>#N/A</v>
      </c>
      <c r="H120" s="24" t="s">
        <v>611</v>
      </c>
      <c r="I120" s="126"/>
    </row>
    <row r="121" spans="1:9" ht="12.75">
      <c r="A121" s="129">
        <v>4</v>
      </c>
      <c r="B121" s="101">
        <v>63</v>
      </c>
      <c r="C121" s="101">
        <f t="shared" si="10"/>
        <v>363</v>
      </c>
      <c r="D121" s="101">
        <f t="shared" si="11"/>
        <v>69</v>
      </c>
      <c r="E121" s="130" t="s">
        <v>1023</v>
      </c>
      <c r="F121" s="24" t="e">
        <f>VLOOKUP(D121,'Character sheet'!$X$49:$AB$62,4,FALSE)</f>
        <v>#N/A</v>
      </c>
      <c r="G121" s="24" t="e">
        <f>CONCATENATE("Range ",VLOOKUP(F121,HPs!$D$83:$I$98,2,FALSE),", strength ",VLOOKUP(F121,HPs!$N$65:$P$80,3,FALSE),", from ",$P$17)</f>
        <v>#N/A</v>
      </c>
      <c r="H121" s="24" t="s">
        <v>612</v>
      </c>
      <c r="I121" s="126"/>
    </row>
    <row r="122" spans="1:9" ht="12.75">
      <c r="A122" s="129">
        <v>4</v>
      </c>
      <c r="B122" s="101">
        <v>73</v>
      </c>
      <c r="C122" s="101">
        <f t="shared" si="10"/>
        <v>373</v>
      </c>
      <c r="D122" s="101">
        <f t="shared" si="11"/>
        <v>70</v>
      </c>
      <c r="E122" s="130" t="s">
        <v>1024</v>
      </c>
      <c r="F122" s="24" t="e">
        <f>VLOOKUP(D122,'Character sheet'!$X$49:$AB$62,4,FALSE)</f>
        <v>#N/A</v>
      </c>
      <c r="G122" s="24" t="e">
        <f>CONCATENATE("Range ",VLOOKUP(F122,HPs!$D$83:$I$98,2,FALSE),", force damage ",VLOOKUP(F122,HPs!$N$65:$P$80,3,FALSE),", additional damage -2CS, from ",$P$17)</f>
        <v>#N/A</v>
      </c>
      <c r="H122" s="24" t="s">
        <v>613</v>
      </c>
      <c r="I122" s="126"/>
    </row>
    <row r="123" spans="1:9" ht="12.75">
      <c r="A123" s="129">
        <v>4</v>
      </c>
      <c r="B123" s="101">
        <v>76</v>
      </c>
      <c r="C123" s="101">
        <f t="shared" si="10"/>
        <v>376</v>
      </c>
      <c r="D123" s="101">
        <f t="shared" si="11"/>
        <v>71</v>
      </c>
      <c r="E123" s="130" t="s">
        <v>1025</v>
      </c>
      <c r="F123" s="24" t="e">
        <f>VLOOKUP(D123,'Character sheet'!$X$49:$AB$62,4,FALSE)</f>
        <v>#N/A</v>
      </c>
      <c r="G123" s="24" t="e">
        <f>CONCATENATE("Range ",VLOOKUP(F123,HPs!$D$83:$I$98,2,FALSE),", damage on electronics ",VLOOKUP(F123,HPs!$N$65:$P$80,3,FALSE),", -2CS on others, from ",$P$17)</f>
        <v>#N/A</v>
      </c>
      <c r="H123" s="24" t="s">
        <v>759</v>
      </c>
      <c r="I123" s="126"/>
    </row>
    <row r="124" spans="1:9" ht="12.75">
      <c r="A124" s="129">
        <v>4</v>
      </c>
      <c r="B124" s="101">
        <v>79</v>
      </c>
      <c r="C124" s="101">
        <f t="shared" si="10"/>
        <v>379</v>
      </c>
      <c r="D124" s="101">
        <f t="shared" si="11"/>
        <v>72</v>
      </c>
      <c r="E124" s="130" t="s">
        <v>1026</v>
      </c>
      <c r="F124" s="24" t="e">
        <f>VLOOKUP(D124,'Character sheet'!$X$49:$AB$62,4,FALSE)</f>
        <v>#N/A</v>
      </c>
      <c r="G124" s="24" t="e">
        <f>CONCATENATE("Range ",VLOOKUP(F124,HPs!$D$83:$I$98,2,FALSE),", shadow intensity ",VLOOKUP(F124,HPs!$N$65:$P$80,3,FALSE),", from ",$P$17)</f>
        <v>#N/A</v>
      </c>
      <c r="H124" s="24" t="s">
        <v>614</v>
      </c>
      <c r="I124" s="126"/>
    </row>
    <row r="125" spans="1:9" ht="12.75">
      <c r="A125" s="129">
        <v>4</v>
      </c>
      <c r="B125" s="101">
        <v>84</v>
      </c>
      <c r="C125" s="101">
        <f t="shared" si="10"/>
        <v>384</v>
      </c>
      <c r="D125" s="101">
        <f t="shared" si="11"/>
        <v>73</v>
      </c>
      <c r="E125" s="130" t="s">
        <v>1027</v>
      </c>
      <c r="F125" s="24" t="e">
        <f>VLOOKUP(D125,'Character sheet'!$X$49:$AB$62,4,FALSE)</f>
        <v>#N/A</v>
      </c>
      <c r="G125" s="24" t="e">
        <f>CONCATENATE("Range ",VLOOKUP(F125,HPs!$D$83:$I$98,2,FALSE),", damage ",VLOOKUP(F125,HPs!$N$65:$P$80,3,FALSE),", from ",$P$17)</f>
        <v>#N/A</v>
      </c>
      <c r="H125" s="24" t="s">
        <v>760</v>
      </c>
      <c r="I125" s="126"/>
    </row>
    <row r="126" spans="1:9" ht="12.75">
      <c r="A126" s="132">
        <v>4</v>
      </c>
      <c r="B126" s="105">
        <v>94</v>
      </c>
      <c r="C126" s="105">
        <f t="shared" si="10"/>
        <v>394</v>
      </c>
      <c r="D126" s="105">
        <f t="shared" si="11"/>
        <v>74</v>
      </c>
      <c r="E126" s="133" t="s">
        <v>1028</v>
      </c>
      <c r="F126" s="24" t="e">
        <f>VLOOKUP(D126,'Character sheet'!$X$49:$AB$62,4,FALSE)</f>
        <v>#N/A</v>
      </c>
      <c r="G126" s="24" t="e">
        <f>CONCATENATE("Range ",VLOOKUP(F126,HPs!$D$83:$I$98,2,FALSE),", damage ",VLOOKUP(F126,HPs!$N$65:$P$80,3,FALSE),", resistance ",VLOOKUP(F126,HPs!$N$65:$P$80,3,FALSE),", from ",$P$17)</f>
        <v>#N/A</v>
      </c>
      <c r="H126" s="24" t="s">
        <v>761</v>
      </c>
      <c r="I126" s="126"/>
    </row>
    <row r="127" spans="1:9" ht="12.75">
      <c r="A127" s="129">
        <v>5</v>
      </c>
      <c r="B127" s="101">
        <v>1</v>
      </c>
      <c r="C127" s="101">
        <f>B127+400</f>
        <v>401</v>
      </c>
      <c r="D127" s="101">
        <f t="shared" si="11"/>
        <v>75</v>
      </c>
      <c r="E127" s="130" t="s">
        <v>1029</v>
      </c>
      <c r="F127" s="24" t="e">
        <f>VLOOKUP(D127,'Character sheet'!$X$49:$AB$62,4,FALSE)</f>
        <v>#N/A</v>
      </c>
      <c r="G127" s="24" t="e">
        <f>CONCATENATE("R&amp;P become Feeble, F&amp;S are increased by ",ROUND(('Character sheet'!D15+'Character sheet'!D17)/2,0),", ",F127," iron will")</f>
        <v>#N/A</v>
      </c>
      <c r="H127" s="24" t="s">
        <v>615</v>
      </c>
      <c r="I127" s="126"/>
    </row>
    <row r="128" spans="1:9" ht="12.75">
      <c r="A128" s="129">
        <v>5</v>
      </c>
      <c r="B128" s="101">
        <v>21</v>
      </c>
      <c r="C128" s="101">
        <f>B128+400</f>
        <v>421</v>
      </c>
      <c r="D128" s="101">
        <f t="shared" si="11"/>
        <v>76</v>
      </c>
      <c r="E128" s="130" t="s">
        <v>417</v>
      </c>
      <c r="F128" s="24" t="e">
        <f>VLOOKUP(D128,'Character sheet'!$X$49:$AB$62,4,FALSE)</f>
        <v>#N/A</v>
      </c>
      <c r="G128" s="24" t="e">
        <f>CONCATENATE("Increases one type martial arts bonus by ",VLOOKUP(F128,HPs!$N$65:$O$80,2,FALSE))</f>
        <v>#N/A</v>
      </c>
      <c r="H128" s="24" t="s">
        <v>616</v>
      </c>
      <c r="I128" s="126"/>
    </row>
    <row r="129" spans="1:9" ht="12.75">
      <c r="A129" s="129">
        <v>5</v>
      </c>
      <c r="B129" s="101">
        <v>61</v>
      </c>
      <c r="C129" s="101">
        <f>B129+400</f>
        <v>461</v>
      </c>
      <c r="D129" s="101">
        <f t="shared" si="11"/>
        <v>77</v>
      </c>
      <c r="E129" s="130" t="s">
        <v>1030</v>
      </c>
      <c r="F129" s="24" t="e">
        <f>VLOOKUP(D129,'Character sheet'!$X$49:$AB$62,4,FALSE)</f>
        <v>#N/A</v>
      </c>
      <c r="G129" s="24" t="e">
        <f>CONCATENATE("Material strength ",VLOOKUP(F129,HPs!$N$65:$P$80,3,FALSE)," (",F129,")")</f>
        <v>#N/A</v>
      </c>
      <c r="H129" s="24" t="s">
        <v>762</v>
      </c>
      <c r="I129" s="126"/>
    </row>
    <row r="130" spans="1:9" ht="12.75">
      <c r="A130" s="129">
        <v>5</v>
      </c>
      <c r="B130" s="101">
        <v>76</v>
      </c>
      <c r="C130" s="101">
        <f>B130+400</f>
        <v>476</v>
      </c>
      <c r="D130" s="101">
        <f t="shared" si="11"/>
        <v>78</v>
      </c>
      <c r="E130" s="130" t="s">
        <v>1031</v>
      </c>
      <c r="F130" s="24" t="e">
        <f>VLOOKUP(D130,'Character sheet'!$X$49:$AB$62,4,FALSE)</f>
        <v>#N/A</v>
      </c>
      <c r="G130" s="24" t="e">
        <f>CONCATENATE("Max. amount ",VLOOKUP(F130,HPs!$N$65:$P$80,2,FALSE)," ounces per turn within one area, lose 1 hp per ounce")</f>
        <v>#N/A</v>
      </c>
      <c r="H130" s="24" t="s">
        <v>803</v>
      </c>
      <c r="I130" s="126"/>
    </row>
    <row r="131" spans="1:9" ht="12.75">
      <c r="A131" s="132">
        <v>5</v>
      </c>
      <c r="B131" s="105">
        <v>81</v>
      </c>
      <c r="C131" s="105">
        <f>B131+400</f>
        <v>481</v>
      </c>
      <c r="D131" s="105">
        <f t="shared" si="11"/>
        <v>79</v>
      </c>
      <c r="E131" s="133" t="s">
        <v>1032</v>
      </c>
      <c r="F131" s="24" t="e">
        <f>VLOOKUP(D131,'Character sheet'!$X$49:$AB$62,4,FALSE)</f>
        <v>#N/A</v>
      </c>
      <c r="G131" s="24" t="e">
        <f>CONCATENATE("Tinker up to ",F131," +6CS (red FEAT) resource cost weapons")</f>
        <v>#N/A</v>
      </c>
      <c r="H131" s="24" t="s">
        <v>619</v>
      </c>
      <c r="I131" s="126"/>
    </row>
    <row r="132" spans="1:8" ht="12.75">
      <c r="A132" s="129">
        <v>6</v>
      </c>
      <c r="B132" s="101">
        <v>1</v>
      </c>
      <c r="C132" s="101">
        <f>B132+500</f>
        <v>501</v>
      </c>
      <c r="D132" s="101">
        <f t="shared" si="11"/>
        <v>80</v>
      </c>
      <c r="E132" s="130" t="s">
        <v>1034</v>
      </c>
      <c r="F132" s="24" t="e">
        <f>VLOOKUP(D132,'Character sheet'!$X$49:$AB$62,4,FALSE)</f>
        <v>#N/A</v>
      </c>
      <c r="G132" s="24" t="e">
        <f>CONCATENATE("Maximum control range ",VLOOKUP(F132,HPs!$D$83:$I$98,3,FALSE))</f>
        <v>#N/A</v>
      </c>
      <c r="H132" s="24" t="s">
        <v>563</v>
      </c>
    </row>
    <row r="133" spans="1:8" ht="12.75">
      <c r="A133" s="129">
        <v>6</v>
      </c>
      <c r="B133" s="101">
        <v>16</v>
      </c>
      <c r="C133" s="101">
        <f>B133+500</f>
        <v>516</v>
      </c>
      <c r="D133" s="101">
        <f t="shared" si="11"/>
        <v>81</v>
      </c>
      <c r="E133" s="130" t="s">
        <v>1035</v>
      </c>
      <c r="F133" s="24" t="e">
        <f>VLOOKUP(D133,'Character sheet'!$X$49:$AB$62,4,FALSE)</f>
        <v>#N/A</v>
      </c>
      <c r="G133" s="24" t="e">
        <f>CONCATENATE("Maximum control range ",VLOOKUP(F133,HPs!$D$83:$I$98,3,FALSE),", +2CS resistance to light based attacks")</f>
        <v>#N/A</v>
      </c>
      <c r="H133" s="24" t="s">
        <v>564</v>
      </c>
    </row>
    <row r="134" spans="1:8" ht="12.75">
      <c r="A134" s="129">
        <v>6</v>
      </c>
      <c r="B134" s="101">
        <v>71</v>
      </c>
      <c r="C134" s="101">
        <f>B134+500</f>
        <v>571</v>
      </c>
      <c r="D134" s="101">
        <f t="shared" si="11"/>
        <v>82</v>
      </c>
      <c r="E134" s="130" t="s">
        <v>1036</v>
      </c>
      <c r="F134" s="24" t="e">
        <f>VLOOKUP(D134,'Character sheet'!$X$49:$AB$62,4,FALSE)</f>
        <v>#N/A</v>
      </c>
      <c r="G134" s="24" t="e">
        <f>CONCATENATE("Max. Cast distance ",VLOOKUP(F134,HPs!$D$83:$K$98,3,FALSE),", illusion field radius ",VLOOKUP(F134,HPs!$N$65:$O$80,2,FALSE)," feet")</f>
        <v>#N/A</v>
      </c>
      <c r="H134" s="24" t="s">
        <v>617</v>
      </c>
    </row>
    <row r="135" spans="1:8" ht="12.75">
      <c r="A135" s="132">
        <v>6</v>
      </c>
      <c r="B135" s="105">
        <v>86</v>
      </c>
      <c r="C135" s="105">
        <f>B135+500</f>
        <v>586</v>
      </c>
      <c r="D135" s="105">
        <f t="shared" si="11"/>
        <v>83</v>
      </c>
      <c r="E135" s="133" t="s">
        <v>1037</v>
      </c>
      <c r="F135" s="24" t="e">
        <f>VLOOKUP(D135,'Character sheet'!$X$49:$AB$62,4,FALSE)</f>
        <v>#N/A</v>
      </c>
      <c r="G135" s="24" t="e">
        <f>CONCATENATE("Max. Cast distance ",VLOOKUP(F135,HPs!$D$83:$K$98,3,FALSE),", max ",VLOOKUP(F135,HPs!$N$65:$O$80,2,FALSE)," illusions, duration ",VLOOKUP(F135,HPs!$N$65:$O$80,2,FALSE)," hours")</f>
        <v>#N/A</v>
      </c>
      <c r="H135" s="24" t="s">
        <v>763</v>
      </c>
    </row>
    <row r="136" spans="1:8" ht="12.75">
      <c r="A136" s="129">
        <v>7</v>
      </c>
      <c r="B136" s="101">
        <v>1</v>
      </c>
      <c r="C136" s="101">
        <f>B136+600</f>
        <v>601</v>
      </c>
      <c r="D136" s="101">
        <f t="shared" si="11"/>
        <v>84</v>
      </c>
      <c r="E136" s="130" t="s">
        <v>1038</v>
      </c>
      <c r="F136" s="24" t="e">
        <f>VLOOKUP(D136,'Character sheet'!$X$49:$AB$62,4,FALSE)</f>
        <v>#N/A</v>
      </c>
      <c r="G136" s="24" t="e">
        <f>CONCATENATE("Power of ",$R$9," at rank ",VLOOKUP(F136,HPs!$N$65:$O$80,2,FALSE),", -1CS per 10' distance and additional target")</f>
        <v>#N/A</v>
      </c>
      <c r="H136" s="24" t="e">
        <f>R27</f>
        <v>#N/A</v>
      </c>
    </row>
    <row r="137" spans="1:8" ht="12.75">
      <c r="A137" s="129">
        <v>7</v>
      </c>
      <c r="B137" s="101">
        <v>15</v>
      </c>
      <c r="C137" s="101">
        <f aca="true" t="shared" si="12" ref="C137:C156">B137+600</f>
        <v>615</v>
      </c>
      <c r="D137" s="101">
        <f t="shared" si="11"/>
        <v>85</v>
      </c>
      <c r="E137" s="130" t="s">
        <v>1039</v>
      </c>
      <c r="F137" s="24" t="e">
        <f>VLOOKUP(D137,'Character sheet'!$X$49:$AB$62,4,FALSE)</f>
        <v>#N/A</v>
      </c>
      <c r="G137" s="24" t="e">
        <f>CONCATENATE("Power ",VLOOKUP(F137,HPs!$N$65:$O$80,2,FALSE),", range ",VLOOKUP(F137,HPs!$D$83:$I$98,2,FALSE),", Str, End, Psy and powers drop 1pt/hour")</f>
        <v>#N/A</v>
      </c>
      <c r="H137" s="24" t="s">
        <v>609</v>
      </c>
    </row>
    <row r="138" spans="1:8" ht="12.75">
      <c r="A138" s="129">
        <v>7</v>
      </c>
      <c r="B138" s="101">
        <v>16</v>
      </c>
      <c r="C138" s="101">
        <f t="shared" si="12"/>
        <v>616</v>
      </c>
      <c r="D138" s="101">
        <f t="shared" si="11"/>
        <v>86</v>
      </c>
      <c r="E138" s="130" t="s">
        <v>1040</v>
      </c>
      <c r="F138" s="24" t="e">
        <f>VLOOKUP(D138,'Character sheet'!$X$49:$AB$62,4,FALSE)</f>
        <v>#N/A</v>
      </c>
      <c r="G138" s="24" t="e">
        <f>CONCATENATE("Power range ",VLOOKUP(F138,HPs!$D$83:$K$98,2,FALSE),", duration ",VLOOKUP(F138,HPs!$N$65:$P$80,3,FALSE)," rounds")</f>
        <v>#N/A</v>
      </c>
      <c r="H138" s="24" t="s">
        <v>593</v>
      </c>
    </row>
    <row r="139" spans="1:8" ht="12.75">
      <c r="A139" s="129">
        <v>7</v>
      </c>
      <c r="B139" s="101">
        <v>19</v>
      </c>
      <c r="C139" s="101">
        <f t="shared" si="12"/>
        <v>619</v>
      </c>
      <c r="D139" s="101">
        <f t="shared" si="11"/>
        <v>87</v>
      </c>
      <c r="E139" s="130" t="s">
        <v>1041</v>
      </c>
      <c r="F139" s="24" t="e">
        <f>VLOOKUP(D139,'Character sheet'!$X$49:$AB$62,4,FALSE)</f>
        <v>#N/A</v>
      </c>
      <c r="G139" s="24" t="e">
        <f>CONCATENATE("Control range ",VLOOKUP(F139,HPs!$D$83:$K$98,2,FALSE),", duration ",VLOOKUP(F139,HPs!$N$65:$P$80,3,FALSE)," rounds")</f>
        <v>#N/A</v>
      </c>
      <c r="H139" s="24" t="s">
        <v>620</v>
      </c>
    </row>
    <row r="140" spans="1:8" ht="12.75">
      <c r="A140" s="129">
        <v>7</v>
      </c>
      <c r="B140" s="101">
        <v>27</v>
      </c>
      <c r="C140" s="101">
        <f t="shared" si="12"/>
        <v>627</v>
      </c>
      <c r="D140" s="101">
        <f t="shared" si="11"/>
        <v>88</v>
      </c>
      <c r="E140" s="130" t="s">
        <v>1042</v>
      </c>
      <c r="F140" s="24" t="e">
        <f>VLOOKUP(D140,'Character sheet'!$X$49:$AB$62,4,FALSE)</f>
        <v>#N/A</v>
      </c>
      <c r="G140" s="24" t="e">
        <f>CONCATENATE("Power rank ",VLOOKUP(F140,HPs!$N$65:$O$80,2,FALSE),", must be within 10', resistance ",VLOOKUP(F140,HPs!$N$65:$P$80,2,FALSE)," against possession")</f>
        <v>#N/A</v>
      </c>
      <c r="H140" s="24" t="s">
        <v>621</v>
      </c>
    </row>
    <row r="141" spans="1:8" ht="12.75">
      <c r="A141" s="129">
        <v>7</v>
      </c>
      <c r="B141" s="101">
        <v>33</v>
      </c>
      <c r="C141" s="101">
        <f t="shared" si="12"/>
        <v>633</v>
      </c>
      <c r="D141" s="101">
        <f t="shared" si="11"/>
        <v>89</v>
      </c>
      <c r="E141" s="130" t="s">
        <v>1043</v>
      </c>
      <c r="F141" s="24" t="e">
        <f>VLOOKUP(D141,'Character sheet'!$X$49:$AB$62,4,FALSE)</f>
        <v>#N/A</v>
      </c>
      <c r="G141" s="24" t="e">
        <f>CONCATENATE("Repulses hostile lifeforms ",VLOOKUP(F141,HPs!$D$83:$K$98,2,FALSE)," away, ineffective vs. cybernetics &amp; missiles")</f>
        <v>#N/A</v>
      </c>
      <c r="H141" s="24" t="s">
        <v>623</v>
      </c>
    </row>
    <row r="142" spans="1:8" ht="12.75">
      <c r="A142" s="129">
        <v>7</v>
      </c>
      <c r="B142" s="101">
        <v>35</v>
      </c>
      <c r="C142" s="101">
        <f t="shared" si="12"/>
        <v>635</v>
      </c>
      <c r="D142" s="101">
        <f t="shared" si="11"/>
        <v>90</v>
      </c>
      <c r="E142" s="130" t="s">
        <v>1044</v>
      </c>
      <c r="F142" s="24" t="e">
        <f>VLOOKUP(D142,'Character sheet'!$X$49:$AB$62,4,FALSE)</f>
        <v>#N/A</v>
      </c>
      <c r="G142" s="24" t="e">
        <f>CONCATENATE("Power rank ",VLOOKUP(F142,HPs!$N$65:$P$80,2,FALSE),", Ty intensity FEAT/day keeps the spirit in stasis")</f>
        <v>#N/A</v>
      </c>
      <c r="H142" s="24" t="s">
        <v>764</v>
      </c>
    </row>
    <row r="143" spans="1:8" ht="12.75">
      <c r="A143" s="129">
        <v>7</v>
      </c>
      <c r="B143" s="101">
        <v>36</v>
      </c>
      <c r="C143" s="101">
        <f t="shared" si="12"/>
        <v>636</v>
      </c>
      <c r="D143" s="101">
        <f t="shared" si="11"/>
        <v>91</v>
      </c>
      <c r="E143" s="130" t="s">
        <v>1045</v>
      </c>
      <c r="F143" s="24" t="e">
        <f>VLOOKUP(D143,'Character sheet'!$X$49:$AB$62,4,FALSE)</f>
        <v>#N/A</v>
      </c>
      <c r="G143" s="24" t="e">
        <f>CONCATENATE("Power rank ",VLOOKUP(F143,HPs!$N$65:$O$80,2,FALSE))</f>
        <v>#N/A</v>
      </c>
      <c r="H143" s="24" t="s">
        <v>765</v>
      </c>
    </row>
    <row r="144" spans="1:8" ht="12.75">
      <c r="A144" s="129">
        <v>7</v>
      </c>
      <c r="B144" s="101">
        <v>40</v>
      </c>
      <c r="C144" s="101">
        <f t="shared" si="12"/>
        <v>640</v>
      </c>
      <c r="D144" s="101">
        <f t="shared" si="11"/>
        <v>92</v>
      </c>
      <c r="E144" s="130" t="s">
        <v>1046</v>
      </c>
      <c r="F144" s="24" t="e">
        <f>VLOOKUP(D144,'Character sheet'!$X$49:$AB$62,4,FALSE)</f>
        <v>#N/A</v>
      </c>
      <c r="G144" s="24" t="e">
        <f>CONCATENATE("Control range ",VLOOKUP(F144,HPs!$D$83:$K$98,2,FALSE),", duration ",VLOOKUP(F144,HPs!$N$65:$P$80,3,FALSE)," rounds")</f>
        <v>#N/A</v>
      </c>
      <c r="H144" s="24" t="s">
        <v>766</v>
      </c>
    </row>
    <row r="145" spans="1:8" ht="12.75">
      <c r="A145" s="129">
        <v>7</v>
      </c>
      <c r="B145" s="101">
        <v>52</v>
      </c>
      <c r="C145" s="101">
        <f t="shared" si="12"/>
        <v>652</v>
      </c>
      <c r="D145" s="101">
        <f t="shared" si="11"/>
        <v>93</v>
      </c>
      <c r="E145" s="130" t="s">
        <v>1047</v>
      </c>
      <c r="F145" s="24" t="e">
        <f>VLOOKUP(D145,'Character sheet'!$X$49:$AB$62,4,FALSE)</f>
        <v>#N/A</v>
      </c>
      <c r="G145" s="24" t="e">
        <f>CONCATENATE("Control range ",VLOOKUP(F145,HPs!$D$83:$K$98,2,FALSE),", duration ",VLOOKUP(F145,HPs!$N$65:$P$80,3,FALSE)," rounds")</f>
        <v>#N/A</v>
      </c>
      <c r="H145" s="24" t="s">
        <v>767</v>
      </c>
    </row>
    <row r="146" spans="1:8" ht="12.75">
      <c r="A146" s="129">
        <v>7</v>
      </c>
      <c r="B146" s="101">
        <v>61</v>
      </c>
      <c r="C146" s="101">
        <f t="shared" si="12"/>
        <v>661</v>
      </c>
      <c r="D146" s="101">
        <f t="shared" si="11"/>
        <v>94</v>
      </c>
      <c r="E146" s="130" t="s">
        <v>1048</v>
      </c>
      <c r="F146" s="24" t="e">
        <f>VLOOKUP(D146,'Character sheet'!$X$49:$AB$62,4,FALSE)</f>
        <v>#N/A</v>
      </c>
      <c r="G146" s="24" t="e">
        <f>CONCATENATE("Control range ",VLOOKUP(F146,HPs!$D$83:$K$98,2,FALSE),", duration ",VLOOKUP(F146,HPs!$N$65:$P$80,3,FALSE)," rounds")</f>
        <v>#N/A</v>
      </c>
      <c r="H146" s="24" t="s">
        <v>622</v>
      </c>
    </row>
    <row r="147" spans="1:8" ht="12.75">
      <c r="A147" s="129">
        <v>7</v>
      </c>
      <c r="B147" s="101">
        <v>63</v>
      </c>
      <c r="C147" s="101">
        <f t="shared" si="12"/>
        <v>663</v>
      </c>
      <c r="D147" s="101">
        <f t="shared" si="11"/>
        <v>95</v>
      </c>
      <c r="E147" s="130" t="s">
        <v>1049</v>
      </c>
      <c r="F147" s="24" t="e">
        <f>VLOOKUP(D147,'Character sheet'!$X$49:$AB$62,4,FALSE)</f>
        <v>#N/A</v>
      </c>
      <c r="G147" s="24" t="e">
        <f>CONCATENATE("Control range ",VLOOKUP(F147,HPs!$D$83:$K$98,2,FALSE),", duration ",VLOOKUP(F147,HPs!$N$65:$P$80,3,FALSE)," rounds")</f>
        <v>#N/A</v>
      </c>
      <c r="H147" s="24" t="s">
        <v>624</v>
      </c>
    </row>
    <row r="148" spans="1:8" ht="12.75">
      <c r="A148" s="129">
        <v>7</v>
      </c>
      <c r="B148" s="101">
        <v>66</v>
      </c>
      <c r="C148" s="101">
        <f t="shared" si="12"/>
        <v>666</v>
      </c>
      <c r="D148" s="101">
        <f t="shared" si="11"/>
        <v>96</v>
      </c>
      <c r="E148" s="130" t="s">
        <v>1050</v>
      </c>
      <c r="F148" s="24" t="e">
        <f>VLOOKUP(D148,'Character sheet'!$X$49:$AB$62,4,FALSE)</f>
        <v>#N/A</v>
      </c>
      <c r="G148" s="24" t="e">
        <f>CONCATENATE("Control range ",VLOOKUP(F148,HPs!$D$83:$K$98,2,FALSE),", symptoms 1-10 r. after infection, duration ",VLOOKUP(F148,HPs!$N$65:$P$80,3,FALSE)," rounds")</f>
        <v>#N/A</v>
      </c>
      <c r="H148" s="24" t="s">
        <v>625</v>
      </c>
    </row>
    <row r="149" spans="1:8" ht="12.75">
      <c r="A149" s="129">
        <v>7</v>
      </c>
      <c r="B149" s="101">
        <v>67</v>
      </c>
      <c r="C149" s="101">
        <f t="shared" si="12"/>
        <v>667</v>
      </c>
      <c r="D149" s="101">
        <f t="shared" si="11"/>
        <v>97</v>
      </c>
      <c r="E149" s="130" t="s">
        <v>1051</v>
      </c>
      <c r="F149" s="24" t="e">
        <f>VLOOKUP(D149,'Character sheet'!$X$49:$AB$62,4,FALSE)</f>
        <v>#N/A</v>
      </c>
      <c r="G149" s="24" t="e">
        <f>CONCATENATE("Controls up to ",VLOOKUP(F149,HPs!$N$65:$P$80,3,FALSE)," plants at range of ",VLOOKUP(F149,HPs!$D$83:$K$98,2,FALSE),", duration ",VLOOKUP(F149,HPs!$N$65:$P$80,3,FALSE)," rounds")</f>
        <v>#N/A</v>
      </c>
      <c r="H149" s="24" t="s">
        <v>626</v>
      </c>
    </row>
    <row r="150" spans="1:8" ht="12.75">
      <c r="A150" s="129">
        <v>7</v>
      </c>
      <c r="B150" s="101">
        <v>70</v>
      </c>
      <c r="C150" s="101">
        <f t="shared" si="12"/>
        <v>670</v>
      </c>
      <c r="D150" s="101">
        <f t="shared" si="11"/>
        <v>98</v>
      </c>
      <c r="E150" s="130" t="s">
        <v>1052</v>
      </c>
      <c r="F150" s="24" t="e">
        <f>VLOOKUP(D150,'Character sheet'!$X$49:$AB$62,4,FALSE)</f>
        <v>#N/A</v>
      </c>
      <c r="G150" s="24" t="e">
        <f>CONCATENATE("Growth speed ",VLOOKUP(F150,HPs!$N$65:$P$80,3,FALSE),"x normal, control range ",VLOOKUP(F150,HPs!$D$83:$K$98,2,FALSE))</f>
        <v>#N/A</v>
      </c>
      <c r="H150" s="24" t="s">
        <v>627</v>
      </c>
    </row>
    <row r="151" spans="1:8" ht="12.75">
      <c r="A151" s="129">
        <v>7</v>
      </c>
      <c r="B151" s="101">
        <v>72</v>
      </c>
      <c r="C151" s="101">
        <f t="shared" si="12"/>
        <v>672</v>
      </c>
      <c r="D151" s="101">
        <f t="shared" si="11"/>
        <v>99</v>
      </c>
      <c r="E151" s="130" t="s">
        <v>1053</v>
      </c>
      <c r="F151" s="24" t="e">
        <f>VLOOKUP(D151,'Character sheet'!$X$49:$AB$62,4,FALSE)</f>
        <v>#N/A</v>
      </c>
      <c r="G151" s="24" t="e">
        <f>CONCATENATE("Control range ",VLOOKUP(F151,HPs!$D$83:$K$98,2,FALSE),", duration ",VLOOKUP(F151,HPs!$N$65:$P$80,3,FALSE)," rounds")</f>
        <v>#N/A</v>
      </c>
      <c r="H151" s="24" t="s">
        <v>628</v>
      </c>
    </row>
    <row r="152" spans="1:8" ht="12.75">
      <c r="A152" s="129">
        <v>7</v>
      </c>
      <c r="B152" s="101">
        <v>81</v>
      </c>
      <c r="C152" s="101">
        <f t="shared" si="12"/>
        <v>681</v>
      </c>
      <c r="D152" s="101">
        <f t="shared" si="11"/>
        <v>100</v>
      </c>
      <c r="E152" s="130" t="s">
        <v>1054</v>
      </c>
      <c r="F152" s="24" t="e">
        <f>VLOOKUP(D152,'Character sheet'!$X$49:$AB$62,4,FALSE)</f>
        <v>#N/A</v>
      </c>
      <c r="G152" s="24" t="e">
        <f>CONCATENATE("Power range ",VLOOKUP(F152,HPs!$D$83:$K$98,2,FALSE),", duration ",VLOOKUP(F152,HPs!$N$65:$P$80,3,FALSE)," rounds")</f>
        <v>#N/A</v>
      </c>
      <c r="H152" s="24" t="s">
        <v>629</v>
      </c>
    </row>
    <row r="153" spans="1:8" ht="12.75">
      <c r="A153" s="129">
        <v>7</v>
      </c>
      <c r="B153" s="101">
        <v>84</v>
      </c>
      <c r="C153" s="101">
        <f t="shared" si="12"/>
        <v>684</v>
      </c>
      <c r="D153" s="101">
        <f t="shared" si="11"/>
        <v>101</v>
      </c>
      <c r="E153" s="130" t="s">
        <v>405</v>
      </c>
      <c r="F153" s="24" t="e">
        <f>VLOOKUP(D153,'Character sheet'!$X$49:$AB$62,4,FALSE)</f>
        <v>#N/A</v>
      </c>
      <c r="G153" s="24" t="e">
        <f>CONCATENATE("Power range ",VLOOKUP(F153,HPs!$D$83:$K$98,2,FALSE),", duration ",VLOOKUP(F153,HPs!$N$65:$P$80,3,FALSE)," rounds, sleep persists 1-10 hours")</f>
        <v>#N/A</v>
      </c>
      <c r="H153" s="24" t="s">
        <v>768</v>
      </c>
    </row>
    <row r="154" spans="1:8" ht="12.75">
      <c r="A154" s="129">
        <v>7</v>
      </c>
      <c r="B154" s="101">
        <v>90</v>
      </c>
      <c r="C154" s="101">
        <f t="shared" si="12"/>
        <v>690</v>
      </c>
      <c r="D154" s="101">
        <f t="shared" si="11"/>
        <v>102</v>
      </c>
      <c r="E154" s="130" t="s">
        <v>1055</v>
      </c>
      <c r="F154" s="24" t="e">
        <f>VLOOKUP(D154,'Character sheet'!$X$49:$AB$62,4,FALSE)</f>
        <v>#N/A</v>
      </c>
      <c r="G154" s="24" t="e">
        <f>CONCATENATE("Power range ",VLOOKUP(F154,HPs!$D$83:$K$98,2,FALSE),", power rank ",VLOOKUP(F154,HPs!$N$65:$P$80,3,FALSE))</f>
        <v>#N/A</v>
      </c>
      <c r="H154" s="24" t="s">
        <v>769</v>
      </c>
    </row>
    <row r="155" spans="1:8" ht="12.75">
      <c r="A155" s="129">
        <v>7</v>
      </c>
      <c r="B155" s="101">
        <v>91</v>
      </c>
      <c r="C155" s="101">
        <f t="shared" si="12"/>
        <v>691</v>
      </c>
      <c r="D155" s="101">
        <f t="shared" si="11"/>
        <v>103</v>
      </c>
      <c r="E155" s="130" t="s">
        <v>1056</v>
      </c>
      <c r="F155" s="24" t="e">
        <f>VLOOKUP(D155,'Character sheet'!$X$49:$AB$62,4,FALSE)</f>
        <v>#N/A</v>
      </c>
      <c r="G155" s="24" t="e">
        <f>CONCATENATE("Power rank ",VLOOKUP(F155,HPs!$N$65:$O$80,2,FALSE))</f>
        <v>#N/A</v>
      </c>
      <c r="H155" s="24" t="s">
        <v>770</v>
      </c>
    </row>
    <row r="156" spans="1:8" ht="12.75">
      <c r="A156" s="132">
        <v>7</v>
      </c>
      <c r="B156" s="105">
        <v>96</v>
      </c>
      <c r="C156" s="105">
        <f t="shared" si="12"/>
        <v>696</v>
      </c>
      <c r="D156" s="105">
        <f t="shared" si="11"/>
        <v>104</v>
      </c>
      <c r="E156" s="133" t="s">
        <v>1057</v>
      </c>
      <c r="F156" s="24" t="e">
        <f>VLOOKUP(D156,'Character sheet'!$X$49:$AB$62,4,FALSE)</f>
        <v>#N/A</v>
      </c>
      <c r="G156" s="24" t="e">
        <f>CONCATENATE("Control range ",VLOOKUP(F156,HPs!$D$83:$K$98,2,FALSE))</f>
        <v>#N/A</v>
      </c>
      <c r="H156" s="24" t="s">
        <v>630</v>
      </c>
    </row>
    <row r="157" spans="1:8" ht="12.75">
      <c r="A157" s="129">
        <v>8</v>
      </c>
      <c r="B157" s="101">
        <v>1</v>
      </c>
      <c r="C157" s="101">
        <f>B157+700</f>
        <v>701</v>
      </c>
      <c r="D157" s="101">
        <f t="shared" si="11"/>
        <v>105</v>
      </c>
      <c r="E157" s="130" t="s">
        <v>1058</v>
      </c>
      <c r="F157" s="24" t="e">
        <f>VLOOKUP(D157,'Character sheet'!$X$49:$AB$62,4,FALSE)</f>
        <v>#N/A</v>
      </c>
      <c r="G157" s="24" t="e">
        <f>CONCATENATE("Rank value in contact ",VLOOKUP(F157,HPs!$N$65:$P$80,3,FALSE),", rank decreases every 10', type: ",$T$13)</f>
        <v>#N/A</v>
      </c>
      <c r="H157" s="24" t="s">
        <v>632</v>
      </c>
    </row>
    <row r="158" spans="1:8" ht="12.75">
      <c r="A158" s="129">
        <v>8</v>
      </c>
      <c r="B158" s="101">
        <v>9</v>
      </c>
      <c r="C158" s="101">
        <f aca="true" t="shared" si="13" ref="C158:C169">B158+700</f>
        <v>709</v>
      </c>
      <c r="D158" s="101">
        <f t="shared" si="11"/>
        <v>106</v>
      </c>
      <c r="E158" s="130" t="s">
        <v>1150</v>
      </c>
      <c r="F158" s="24" t="e">
        <f>VLOOKUP(D158,'Character sheet'!$X$49:$AB$62,4,FALSE)</f>
        <v>#N/A</v>
      </c>
      <c r="G158" s="24" t="e">
        <f>CONCATENATE("Range ",VLOOKUP(F158,HPs!$D$83:$I$98,2,FALSE),", magic storage if source lost: ",'Character sheet'!D17,", type: ",$T$14)</f>
        <v>#N/A</v>
      </c>
      <c r="H158" s="24" t="s">
        <v>633</v>
      </c>
    </row>
    <row r="159" spans="1:8" ht="12.75">
      <c r="A159" s="129">
        <v>8</v>
      </c>
      <c r="B159" s="101">
        <v>16</v>
      </c>
      <c r="C159" s="101">
        <f t="shared" si="13"/>
        <v>716</v>
      </c>
      <c r="D159" s="101">
        <f t="shared" si="11"/>
        <v>107</v>
      </c>
      <c r="E159" s="130" t="s">
        <v>1060</v>
      </c>
      <c r="F159" s="24" t="e">
        <f>VLOOKUP(D159,'Character sheet'!$X$49:$AB$62,4,FALSE)</f>
        <v>#N/A</v>
      </c>
      <c r="G159" s="24" t="e">
        <f>CONCATENATE("Volume ",POWER(VLOOKUP(F159,HPs!$N$65:$P$80,3,FALSE),3)," cu. miles, in-limbo emoition ctrl +6CS, type: ",$T$15)</f>
        <v>#N/A</v>
      </c>
      <c r="H159" s="24" t="s">
        <v>631</v>
      </c>
    </row>
    <row r="160" spans="1:8" ht="12.75">
      <c r="A160" s="129">
        <v>8</v>
      </c>
      <c r="B160" s="101">
        <v>18</v>
      </c>
      <c r="C160" s="101">
        <f t="shared" si="13"/>
        <v>718</v>
      </c>
      <c r="D160" s="101">
        <f t="shared" si="11"/>
        <v>108</v>
      </c>
      <c r="E160" s="130" t="s">
        <v>1061</v>
      </c>
      <c r="F160" s="24" t="e">
        <f>VLOOKUP(D160,'Character sheet'!$X$49:$AB$62,4,FALSE)</f>
        <v>#N/A</v>
      </c>
      <c r="G160" s="24" t="e">
        <f>CONCATENATE("Range ",VLOOKUP(F160,HPs!$D$83:$I$98,2,FALSE),", duration ",VLOOKUP(F160,HPs!$N$65:$P$80,2,FALSE)," minutes, ",$V$13,", type: ",$T$16)</f>
        <v>#N/A</v>
      </c>
      <c r="H160" s="131" t="e">
        <f>V27</f>
        <v>#N/A</v>
      </c>
    </row>
    <row r="161" spans="1:8" ht="12.75">
      <c r="A161" s="129">
        <v>8</v>
      </c>
      <c r="B161" s="101">
        <v>26</v>
      </c>
      <c r="C161" s="101">
        <f t="shared" si="13"/>
        <v>726</v>
      </c>
      <c r="D161" s="101">
        <f t="shared" si="11"/>
        <v>109</v>
      </c>
      <c r="E161" s="130" t="s">
        <v>1062</v>
      </c>
      <c r="F161" s="24" t="e">
        <f>VLOOKUP(D161,'Character sheet'!$X$49:$AB$62,4,FALSE)</f>
        <v>#N/A</v>
      </c>
      <c r="G161" s="127" t="e">
        <f>CONCATENATE("May create ",VLOOKUP(F161,HPs!$N$65:$P$80,2,FALSE)," powers, initially -3CS rank, type: ",$T$17)</f>
        <v>#N/A</v>
      </c>
      <c r="H161" s="24" t="s">
        <v>662</v>
      </c>
    </row>
    <row r="162" spans="1:8" ht="12.75">
      <c r="A162" s="129">
        <v>8</v>
      </c>
      <c r="B162" s="101">
        <v>29</v>
      </c>
      <c r="C162" s="101">
        <f t="shared" si="13"/>
        <v>729</v>
      </c>
      <c r="D162" s="101">
        <f t="shared" si="11"/>
        <v>110</v>
      </c>
      <c r="E162" s="130" t="s">
        <v>1063</v>
      </c>
      <c r="F162" s="24" t="e">
        <f>VLOOKUP(D162,'Character sheet'!$X$49:$AB$62,4,FALSE)</f>
        <v>#N/A</v>
      </c>
      <c r="G162" s="24" t="e">
        <f>CONCATENATE("Range ",VLOOKUP(F162,HPs!$D$83:$I$98,2,FALSE),", rank ",VLOOKUP(F162,HPs!$N$65:$P$80,2,FALSE),", affects mages/magical creatures, type: ",$T$18)</f>
        <v>#N/A</v>
      </c>
      <c r="H162" s="24" t="s">
        <v>663</v>
      </c>
    </row>
    <row r="163" spans="1:8" ht="12.75">
      <c r="A163" s="129">
        <v>8</v>
      </c>
      <c r="B163" s="101">
        <v>34</v>
      </c>
      <c r="C163" s="101">
        <f t="shared" si="13"/>
        <v>734</v>
      </c>
      <c r="D163" s="101">
        <f t="shared" si="11"/>
        <v>111</v>
      </c>
      <c r="E163" s="130" t="s">
        <v>1064</v>
      </c>
      <c r="F163" s="24" t="e">
        <f>VLOOKUP(D163,'Character sheet'!$X$49:$AB$62,4,FALSE)</f>
        <v>#N/A</v>
      </c>
      <c r="G163" s="24" t="e">
        <f>CONCATENATE("Rank ",VLOOKUP(F163,HPs!$N$65:$P$80,3,FALSE),", transferred power decreases every 10', type: ",$T$13)</f>
        <v>#N/A</v>
      </c>
      <c r="H163" s="24" t="e">
        <f>CONCATENATE("Power-FEAT determines duration: green  = ",'Character sheet'!$D$15*100," turns, yellow = ",'Character sheet'!$D$15*10000," turns, red = permanent")</f>
        <v>#N/A</v>
      </c>
    </row>
    <row r="164" spans="1:8" ht="12.75">
      <c r="A164" s="129">
        <v>8</v>
      </c>
      <c r="B164" s="101">
        <v>40</v>
      </c>
      <c r="C164" s="101">
        <f t="shared" si="13"/>
        <v>740</v>
      </c>
      <c r="D164" s="101">
        <f t="shared" si="11"/>
        <v>112</v>
      </c>
      <c r="E164" s="130" t="s">
        <v>1065</v>
      </c>
      <c r="F164" s="24" t="e">
        <f>VLOOKUP(D164,'Character sheet'!$X$49:$AB$62,4,FALSE)</f>
        <v>#N/A</v>
      </c>
      <c r="G164" s="24" t="e">
        <f>CONCATENATE("Power ",VLOOKUP(F164,HPs!$N$65:$O$80,2,FALSE),", range ",VLOOKUP(F164,HPs!$D$83:$I$98,2,FALSE),", S&amp;E&amp;P&amp;powers drop 1pt/hour, type: ",$T$17)</f>
        <v>#N/A</v>
      </c>
      <c r="H164" s="24" t="s">
        <v>558</v>
      </c>
    </row>
    <row r="165" spans="1:8" ht="12.75">
      <c r="A165" s="129">
        <v>8</v>
      </c>
      <c r="B165" s="101">
        <v>42</v>
      </c>
      <c r="C165" s="101">
        <f t="shared" si="13"/>
        <v>742</v>
      </c>
      <c r="D165" s="101">
        <f t="shared" si="11"/>
        <v>113</v>
      </c>
      <c r="E165" s="130" t="s">
        <v>1066</v>
      </c>
      <c r="F165" s="24" t="e">
        <f>VLOOKUP(D165,'Character sheet'!$X$49:$AB$62,4,FALSE)</f>
        <v>#N/A</v>
      </c>
      <c r="G165" s="24" t="e">
        <f>CONCATENATE("Magic power : ",VLOOKUP('Character sheet'!$Q$39,Powers!$D$53:$E$315,2,FALSE),", type: ",$T$15)</f>
        <v>#N/A</v>
      </c>
      <c r="H165" s="131" t="e">
        <f>VLOOKUP('Character sheet'!Q39,Powers!D53:H315,5,FALSE)</f>
        <v>#N/A</v>
      </c>
    </row>
    <row r="166" spans="1:8" ht="12.75">
      <c r="A166" s="129">
        <v>8</v>
      </c>
      <c r="B166" s="101">
        <v>72</v>
      </c>
      <c r="C166" s="101">
        <f t="shared" si="13"/>
        <v>772</v>
      </c>
      <c r="D166" s="101">
        <f t="shared" si="11"/>
        <v>114</v>
      </c>
      <c r="E166" s="130" t="s">
        <v>1067</v>
      </c>
      <c r="F166" s="24" t="e">
        <f>VLOOKUP(D166,'Character sheet'!$X$49:$AB$62,4,FALSE)</f>
        <v>#N/A</v>
      </c>
      <c r="G166" s="24" t="e">
        <f>CONCATENATE("Rank ",VLOOKUP(F166,HPs!$N$65:$P$80,2,FALSE),", control ",$X$13,", type: ",$T$16)</f>
        <v>#N/A</v>
      </c>
      <c r="H166" s="131" t="e">
        <f>X27</f>
        <v>#N/A</v>
      </c>
    </row>
    <row r="167" spans="1:8" ht="12.75">
      <c r="A167" s="129">
        <v>8</v>
      </c>
      <c r="B167" s="101">
        <v>78</v>
      </c>
      <c r="C167" s="101">
        <f t="shared" si="13"/>
        <v>778</v>
      </c>
      <c r="D167" s="101">
        <f t="shared" si="11"/>
        <v>115</v>
      </c>
      <c r="E167" s="130" t="s">
        <v>1068</v>
      </c>
      <c r="F167" s="24" t="e">
        <f>VLOOKUP(D167,'Character sheet'!$X$49:$AB$62,4,FALSE)</f>
        <v>#N/A</v>
      </c>
      <c r="G167" s="24" t="e">
        <f>CONCATENATE("Power ",VLOOKUP(F167,HPs!$N$65:$O$80,2,FALSE),", range ",VLOOKUP(F167,HPs!$D$83:$I$98,2,FALSE),", S&amp;E&amp;P&amp;powers drop 1pt/hour, type: ",$T$17)</f>
        <v>#N/A</v>
      </c>
      <c r="H167" s="24" t="s">
        <v>558</v>
      </c>
    </row>
    <row r="168" spans="1:8" ht="12.75">
      <c r="A168" s="129">
        <v>8</v>
      </c>
      <c r="B168" s="101">
        <v>80</v>
      </c>
      <c r="C168" s="101">
        <f t="shared" si="13"/>
        <v>780</v>
      </c>
      <c r="D168" s="101">
        <f t="shared" si="11"/>
        <v>116</v>
      </c>
      <c r="E168" s="130" t="s">
        <v>494</v>
      </c>
      <c r="F168" s="24" t="e">
        <f>VLOOKUP(D168,'Character sheet'!$X$49:$AB$62,4,FALSE)</f>
        <v>#N/A</v>
      </c>
      <c r="G168" s="24" t="e">
        <f>CONCATENATE("Range ",VLOOKUP(F168,HPs!$D$83:$I$98,3,FALSE),", power rank ",VLOOKUP(F168,HPs!$N$65:$P$80,3,FALSE),", type: ",$T$18)</f>
        <v>#N/A</v>
      </c>
      <c r="H168" s="24" t="s">
        <v>778</v>
      </c>
    </row>
    <row r="169" spans="1:8" ht="12.75">
      <c r="A169" s="132">
        <v>8</v>
      </c>
      <c r="B169" s="105">
        <v>96</v>
      </c>
      <c r="C169" s="105">
        <f t="shared" si="13"/>
        <v>796</v>
      </c>
      <c r="D169" s="105">
        <f t="shared" si="11"/>
        <v>117</v>
      </c>
      <c r="E169" s="133" t="s">
        <v>1069</v>
      </c>
      <c r="F169" s="24" t="e">
        <f>VLOOKUP(D169,'Character sheet'!$X$49:$AB$62,4,FALSE)</f>
        <v>#N/A</v>
      </c>
      <c r="G169" s="24" t="e">
        <f>CONCATENATE("Ward radius ",VLOOKUP(F169,HPs!$N$65:$P$80,3,FALSE),", max. no of powers to use &amp; wards: ",VLOOKUP(F169,HPs!$N$65:$P$80,3,FALSE),", type: ",$T$13)</f>
        <v>#N/A</v>
      </c>
      <c r="H169" s="24" t="s">
        <v>779</v>
      </c>
    </row>
    <row r="170" spans="1:8" ht="12.75">
      <c r="A170" s="129">
        <v>9</v>
      </c>
      <c r="B170" s="101">
        <v>1</v>
      </c>
      <c r="C170" s="101">
        <f>B170+800</f>
        <v>801</v>
      </c>
      <c r="D170" s="101">
        <f t="shared" si="11"/>
        <v>118</v>
      </c>
      <c r="E170" s="130" t="s">
        <v>1070</v>
      </c>
      <c r="F170" s="24" t="e">
        <f>VLOOKUP(D170,'Character sheet'!$X$49:$AB$62,4,FALSE)</f>
        <v>#N/A</v>
      </c>
      <c r="G170" s="24" t="e">
        <f>CONCATENATE("Max. bonding strength ",VLOOKUP(F170,HPs!$N$65:$O$80,2,FALSE),", +1CS/turn, breaking causes 6 damage to living")</f>
        <v>#N/A</v>
      </c>
      <c r="H170" s="24" t="e">
        <f>CONCATENATE("Power-FEAT determines duration: green  = ",'Character sheet'!$D$15*100," turns, yellow = ",'Character sheet'!$D$15*10000," turns, red = permanent")</f>
        <v>#N/A</v>
      </c>
    </row>
    <row r="171" spans="1:8" ht="12.75">
      <c r="A171" s="129">
        <v>9</v>
      </c>
      <c r="B171" s="101">
        <v>6</v>
      </c>
      <c r="C171" s="101">
        <f aca="true" t="shared" si="14" ref="C171:C182">B171+800</f>
        <v>806</v>
      </c>
      <c r="D171" s="101">
        <f t="shared" si="11"/>
        <v>119</v>
      </c>
      <c r="E171" s="130" t="s">
        <v>1071</v>
      </c>
      <c r="F171" s="24" t="e">
        <f>VLOOKUP(D171,'Character sheet'!$X$49:$AB$62,4,FALSE)</f>
        <v>#N/A</v>
      </c>
      <c r="G171" s="24" t="e">
        <f>CONCATENATE("Collection range ",VLOOKUP(F171,HPs!$D$83:$K$98,4,FALSE),", max ",VLOOKUP(F171,HPs!$N$65:$P$80,2,FALSE)," pounds/round")</f>
        <v>#N/A</v>
      </c>
      <c r="H171" s="24" t="s">
        <v>780</v>
      </c>
    </row>
    <row r="172" spans="1:8" ht="12.75">
      <c r="A172" s="129">
        <v>9</v>
      </c>
      <c r="B172" s="101">
        <v>18</v>
      </c>
      <c r="C172" s="101">
        <f t="shared" si="14"/>
        <v>818</v>
      </c>
      <c r="D172" s="101">
        <f t="shared" si="11"/>
        <v>120</v>
      </c>
      <c r="E172" s="130" t="s">
        <v>1072</v>
      </c>
      <c r="F172" s="24" t="e">
        <f>VLOOKUP(D172,'Character sheet'!$X$49:$AB$62,4,FALSE)</f>
        <v>#N/A</v>
      </c>
      <c r="G172" s="24" t="e">
        <f>CONCATENATE("Crystallization range ",VLOOKUP(F172,HPs!$D$83:$K$98,4,FALSE),", max ",VLOOKUP(F172,HPs!$N$65:$P$80,2,FALSE)," square feet/round")</f>
        <v>#N/A</v>
      </c>
      <c r="H172" s="24" t="s">
        <v>781</v>
      </c>
    </row>
    <row r="173" spans="1:8" ht="12.75">
      <c r="A173" s="129">
        <v>9</v>
      </c>
      <c r="B173" s="101">
        <v>23</v>
      </c>
      <c r="C173" s="101">
        <f t="shared" si="14"/>
        <v>823</v>
      </c>
      <c r="D173" s="101">
        <f t="shared" si="11"/>
        <v>121</v>
      </c>
      <c r="E173" s="130" t="s">
        <v>1073</v>
      </c>
      <c r="F173" s="24" t="e">
        <f>VLOOKUP(D173,'Character sheet'!$X$49:$AB$62,4,FALSE)</f>
        <v>#N/A</v>
      </c>
      <c r="G173" s="24" t="e">
        <f>CONCATENATE("Resultant size ",VLOOKUP(F173,HPs!$D$83:$L$398,9,FALSE),", diminution method: ",$Z$13)</f>
        <v>#N/A</v>
      </c>
      <c r="H173" s="131" t="e">
        <f>$Z$27</f>
        <v>#N/A</v>
      </c>
    </row>
    <row r="174" spans="1:13" ht="12.75">
      <c r="A174" s="129">
        <v>9</v>
      </c>
      <c r="B174" s="101">
        <v>30</v>
      </c>
      <c r="C174" s="101">
        <f t="shared" si="14"/>
        <v>830</v>
      </c>
      <c r="D174" s="101">
        <f t="shared" si="11"/>
        <v>122</v>
      </c>
      <c r="E174" s="130" t="s">
        <v>1074</v>
      </c>
      <c r="F174" s="24" t="e">
        <f>VLOOKUP(D174,'Character sheet'!$X$49:$AB$62,4,FALSE)</f>
        <v>#N/A</v>
      </c>
      <c r="G174" s="24" t="e">
        <f>CONCATENATE("Disruption range ",VLOOKUP(M174,HPs!$D$83:$I$98,2,FALSE),", max ",VLOOKUP(F174,HPs!$N$65:$P$80,2,FALSE)," pounds/round")</f>
        <v>#N/A</v>
      </c>
      <c r="H174" s="24" t="s">
        <v>788</v>
      </c>
      <c r="K174" s="24" t="e">
        <f>VLOOKUP($D174,'Character sheet'!$X$49:$Z$62,3,FALSE)</f>
        <v>#N/A</v>
      </c>
      <c r="L174" s="24" t="e">
        <f>VLOOKUP($D174,'Character sheet'!$X$25:$Y$38,2,FALSE)-K174</f>
        <v>#N/A</v>
      </c>
      <c r="M174" s="24" t="e">
        <f>VLOOKUP(L174,HPs!$M$65:$N$80,2,FALSE)</f>
        <v>#N/A</v>
      </c>
    </row>
    <row r="175" spans="1:8" ht="12.75">
      <c r="A175" s="129">
        <v>9</v>
      </c>
      <c r="B175" s="101">
        <v>40</v>
      </c>
      <c r="C175" s="101">
        <f t="shared" si="14"/>
        <v>840</v>
      </c>
      <c r="D175" s="101">
        <f t="shared" si="11"/>
        <v>123</v>
      </c>
      <c r="E175" s="130" t="s">
        <v>1075</v>
      </c>
      <c r="F175" s="24" t="e">
        <f>VLOOKUP(D175,'Character sheet'!$X$49:$AB$62,4,FALSE)</f>
        <v>#N/A</v>
      </c>
      <c r="G175" s="24" t="e">
        <f>CONCATENATE("Resultant size ",VLOOKUP(F175,HPs!$D$83:$M$398,10,FALSE),", enlargement method: ",$AB$13)</f>
        <v>#N/A</v>
      </c>
      <c r="H175" s="131" t="e">
        <f>$AB$27</f>
        <v>#N/A</v>
      </c>
    </row>
    <row r="176" spans="1:8" ht="12.75">
      <c r="A176" s="129">
        <v>9</v>
      </c>
      <c r="B176" s="101">
        <v>47</v>
      </c>
      <c r="C176" s="101">
        <f t="shared" si="14"/>
        <v>847</v>
      </c>
      <c r="D176" s="101">
        <f t="shared" si="11"/>
        <v>124</v>
      </c>
      <c r="E176" s="130" t="s">
        <v>1076</v>
      </c>
      <c r="F176" s="24" t="e">
        <f>VLOOKUP(D176,'Character sheet'!$X$49:$AB$62,4,FALSE)</f>
        <v>#N/A</v>
      </c>
      <c r="G176" s="24" t="e">
        <f>CONCATENATE("Detection range ",VLOOKUP(F176,HPs!$D$83:$K$98,3,FALSE),", control range ",VLOOKUP(F176,HPs!$D$83:$K$98,2,FALSE),", control amount ",VLOOKUP(F176,HPs!$N$65:$P$80,2,FALSE)*10," tons")</f>
        <v>#N/A</v>
      </c>
      <c r="H176" s="24" t="s">
        <v>789</v>
      </c>
    </row>
    <row r="177" spans="1:8" ht="12.75">
      <c r="A177" s="129">
        <v>9</v>
      </c>
      <c r="B177" s="101">
        <v>52</v>
      </c>
      <c r="C177" s="101">
        <f t="shared" si="14"/>
        <v>852</v>
      </c>
      <c r="D177" s="101">
        <f t="shared" si="11"/>
        <v>125</v>
      </c>
      <c r="E177" s="130" t="s">
        <v>1077</v>
      </c>
      <c r="F177" s="24" t="e">
        <f>VLOOKUP(D177,'Character sheet'!$X$49:$AB$62,4,FALSE)</f>
        <v>#N/A</v>
      </c>
      <c r="G177" s="24" t="e">
        <f>CONCATENATE("Range ",VLOOKUP(F177,HPs!$D$83:$K$98,3,FALSE),", animate ",$AD$13,", control amount ",VLOOKUP(F177,HPs!$N$65:$P$80,2,FALSE)*0.5," tons")</f>
        <v>#N/A</v>
      </c>
      <c r="H177" s="24" t="e">
        <f>AD27</f>
        <v>#N/A</v>
      </c>
    </row>
    <row r="178" spans="1:14" ht="12.75">
      <c r="A178" s="129">
        <v>9</v>
      </c>
      <c r="B178" s="101">
        <v>62</v>
      </c>
      <c r="C178" s="101">
        <f t="shared" si="14"/>
        <v>862</v>
      </c>
      <c r="D178" s="101">
        <f t="shared" si="11"/>
        <v>126</v>
      </c>
      <c r="E178" s="130" t="s">
        <v>1078</v>
      </c>
      <c r="F178" s="24" t="e">
        <f>VLOOKUP(D178,'Character sheet'!$X$49:$AB$62,4,FALSE)</f>
        <v>#N/A</v>
      </c>
      <c r="G178" s="24" t="e">
        <f>CONCATENATE("Machine control range ",VLOOKUP(F178,HPs!$D$83:$K$98,3,FALSE),", create ",VLOOKUP(N178,HPs!D83:N98,11,FALSE)," ground movement")</f>
        <v>#N/A</v>
      </c>
      <c r="H178" s="24" t="s">
        <v>790</v>
      </c>
      <c r="L178" s="24" t="e">
        <f>VLOOKUP(F178,HPs!$N$65:$Q$80,4,FALSE)</f>
        <v>#N/A</v>
      </c>
      <c r="M178" s="24" t="e">
        <f>IF(L178&lt;3,1,VLOOKUP(F178,HPs!$N$65:$Q$80,4,FALSE)-2)</f>
        <v>#N/A</v>
      </c>
      <c r="N178" s="24" t="e">
        <f>VLOOKUP(M178,HPs!$M$65:$N$80,2)</f>
        <v>#N/A</v>
      </c>
    </row>
    <row r="179" spans="1:8" ht="12.75">
      <c r="A179" s="129">
        <v>9</v>
      </c>
      <c r="B179" s="101">
        <v>69</v>
      </c>
      <c r="C179" s="101">
        <f t="shared" si="14"/>
        <v>869</v>
      </c>
      <c r="D179" s="101">
        <f t="shared" si="11"/>
        <v>127</v>
      </c>
      <c r="E179" s="130" t="s">
        <v>1079</v>
      </c>
      <c r="F179" s="24" t="e">
        <f>VLOOKUP(D179,'Character sheet'!$X$49:$AB$62,4,FALSE)</f>
        <v>#N/A</v>
      </c>
      <c r="G179" s="24" t="e">
        <f>CONCATENATE("Force field rank number ",VLOOKUP(F179,HPs!$N$65:$P$80,2,FALSE),",  radius ",VLOOKUP(F179,HPs!$N$65:$P$80,2,FALSE)," feet")</f>
        <v>#N/A</v>
      </c>
      <c r="H179" s="24" t="s">
        <v>791</v>
      </c>
    </row>
    <row r="180" spans="1:13" ht="12.75">
      <c r="A180" s="129">
        <v>9</v>
      </c>
      <c r="B180" s="101">
        <v>74</v>
      </c>
      <c r="C180" s="101">
        <f t="shared" si="14"/>
        <v>874</v>
      </c>
      <c r="D180" s="101">
        <f t="shared" si="11"/>
        <v>128</v>
      </c>
      <c r="E180" s="130" t="s">
        <v>1080</v>
      </c>
      <c r="F180" s="24" t="e">
        <f>VLOOKUP(D180,'Character sheet'!$X$49:$AB$62,4,FALSE)</f>
        <v>#N/A</v>
      </c>
      <c r="G180" s="24" t="e">
        <f>CONCATENATE("Range ",VLOOKUP(M180,HPs!$D$83:$K$98,2,FALSE),",  max molding amount ",VLOOKUP(F180,HPs!$N$65:$P$80,2,FALSE)*100," pounds")</f>
        <v>#N/A</v>
      </c>
      <c r="H180" s="24" t="s">
        <v>387</v>
      </c>
      <c r="K180" s="24" t="e">
        <f>VLOOKUP($D180,'Character sheet'!$X$49:$Z$62,3,FALSE)</f>
        <v>#N/A</v>
      </c>
      <c r="L180" s="24" t="e">
        <f>VLOOKUP($D180,'Character sheet'!$X$25:$Y$38,2,FALSE)-K180</f>
        <v>#N/A</v>
      </c>
      <c r="M180" s="24" t="e">
        <f>VLOOKUP(L180,HPs!$M$65:$N$80,2,FALSE)</f>
        <v>#N/A</v>
      </c>
    </row>
    <row r="181" spans="1:8" ht="12.75">
      <c r="A181" s="129">
        <v>9</v>
      </c>
      <c r="B181" s="101">
        <v>84</v>
      </c>
      <c r="C181" s="101">
        <f t="shared" si="14"/>
        <v>884</v>
      </c>
      <c r="D181" s="101">
        <f t="shared" si="11"/>
        <v>129</v>
      </c>
      <c r="E181" s="130" t="s">
        <v>512</v>
      </c>
      <c r="F181" s="24" t="e">
        <f>VLOOKUP(D181,'Character sheet'!$X$49:$AB$62,4,FALSE)</f>
        <v>#N/A</v>
      </c>
      <c r="G181" s="24" t="e">
        <f>CONCATENATE("Control range ",VLOOKUP(F181,HPs!$D$83:$K$98,4,FALSE),", power rank ",VLOOKUP(F181,HPs!$N$65:$P$80,2,FALSE))</f>
        <v>#N/A</v>
      </c>
      <c r="H181" s="24" t="s">
        <v>792</v>
      </c>
    </row>
    <row r="182" spans="1:14" ht="12.75">
      <c r="A182" s="132">
        <v>9</v>
      </c>
      <c r="B182" s="105">
        <v>94</v>
      </c>
      <c r="C182" s="105">
        <f t="shared" si="14"/>
        <v>894</v>
      </c>
      <c r="D182" s="105">
        <f t="shared" si="11"/>
        <v>130</v>
      </c>
      <c r="E182" s="133" t="s">
        <v>1081</v>
      </c>
      <c r="F182" s="24" t="e">
        <f>VLOOKUP(D182,'Character sheet'!$X$49:$AB$62,4,FALSE)</f>
        <v>#N/A</v>
      </c>
      <c r="G182" s="24" t="e">
        <f>CONCATENATE("Range ",VLOOKUP(F182,HPs!$D$83:$K$98,2,FALSE),", ",N182," FASE / Shift-zero RIP, health ",VLOOKUP(F182,HPs!$N$65:$P$80,2,FALSE))</f>
        <v>#N/A</v>
      </c>
      <c r="H182" s="24" t="s">
        <v>793</v>
      </c>
      <c r="L182" s="24" t="e">
        <f>VLOOKUP(F182,HPs!$N$65:$Q$80,4,FALSE)</f>
        <v>#N/A</v>
      </c>
      <c r="M182" s="24" t="e">
        <f>IF(L182&lt;4,1,VLOOKUP(F182,HPs!$N$65:$Q$80,4,FALSE)-3)</f>
        <v>#N/A</v>
      </c>
      <c r="N182" s="24" t="e">
        <f>VLOOKUP(M182,HPs!$M$65:$N$80,2,FALSE)</f>
        <v>#N/A</v>
      </c>
    </row>
    <row r="183" spans="1:8" ht="12.75">
      <c r="A183" s="129">
        <v>10</v>
      </c>
      <c r="B183" s="101">
        <v>1</v>
      </c>
      <c r="C183" s="101">
        <f aca="true" t="shared" si="15" ref="C183:C188">B183+900</f>
        <v>901</v>
      </c>
      <c r="D183" s="101">
        <f aca="true" t="shared" si="16" ref="D183:D246">D182+1</f>
        <v>131</v>
      </c>
      <c r="E183" s="130" t="s">
        <v>1082</v>
      </c>
      <c r="F183" s="24" t="e">
        <f>VLOOKUP(D183,'Character sheet'!$X$49:$AB$62,4,FALSE)</f>
        <v>#N/A</v>
      </c>
      <c r="G183" s="24" t="e">
        <f>CONCATENATE("Control range ",VLOOKUP(F183,HPs!$D$83:$K$98,2,FALSE),", power rank ",VLOOKUP(F183,HPs!$N$65:$P$80,2,FALSE),", coloration duration 1-100 hours")</f>
        <v>#N/A</v>
      </c>
      <c r="H183" s="24" t="s">
        <v>794</v>
      </c>
    </row>
    <row r="184" spans="1:8" ht="12.75">
      <c r="A184" s="129">
        <v>10</v>
      </c>
      <c r="B184" s="101">
        <v>11</v>
      </c>
      <c r="C184" s="101">
        <f t="shared" si="15"/>
        <v>911</v>
      </c>
      <c r="D184" s="101">
        <f t="shared" si="16"/>
        <v>132</v>
      </c>
      <c r="E184" s="130" t="s">
        <v>1083</v>
      </c>
      <c r="F184" s="24" t="e">
        <f>VLOOKUP(D184,'Character sheet'!$X$49:$AB$62,4,FALSE)</f>
        <v>#N/A</v>
      </c>
      <c r="G184" s="24" t="e">
        <f>CONCATENATE("Control range ",VLOOKUP(F184,HPs!$D$83:$K$98,2,FALSE),", maximum target size ",VLOOKUP(F184,HPs!$N$65:$P$80,2,FALSE)*10," sqfeet")</f>
        <v>#N/A</v>
      </c>
      <c r="H184" s="24" t="s">
        <v>795</v>
      </c>
    </row>
    <row r="185" spans="1:13" ht="12.75">
      <c r="A185" s="129">
        <v>10</v>
      </c>
      <c r="B185" s="101">
        <v>26</v>
      </c>
      <c r="C185" s="101">
        <f t="shared" si="15"/>
        <v>926</v>
      </c>
      <c r="D185" s="101">
        <f t="shared" si="16"/>
        <v>133</v>
      </c>
      <c r="E185" s="130" t="s">
        <v>1084</v>
      </c>
      <c r="F185" s="24" t="e">
        <f>VLOOKUP(D185,'Character sheet'!$X$49:$AB$62,4,FALSE)</f>
        <v>#N/A</v>
      </c>
      <c r="G185" s="24" t="e">
        <f>CONCATENATE("Range ",VLOOKUP(M185,HPs!$D$83:$K$98,2,FALSE),", max. ",VLOOKUP(F185,HPs!$N$65:$P$80,2,FALSE)," cubic feet disintegrated per turn")</f>
        <v>#N/A</v>
      </c>
      <c r="H185" s="24" t="s">
        <v>796</v>
      </c>
      <c r="K185" s="24" t="e">
        <f>VLOOKUP($D185,'Character sheet'!$X$49:$Z$62,3,FALSE)</f>
        <v>#N/A</v>
      </c>
      <c r="L185" s="24" t="e">
        <f>VLOOKUP($D185,'Character sheet'!$X$25:$Y$38,2,FALSE)-K185</f>
        <v>#N/A</v>
      </c>
      <c r="M185" s="24" t="e">
        <f>VLOOKUP(L185,HPs!$M$65:$N$80,2,FALSE)</f>
        <v>#N/A</v>
      </c>
    </row>
    <row r="186" spans="1:8" ht="12.75">
      <c r="A186" s="129">
        <v>10</v>
      </c>
      <c r="B186" s="101">
        <v>46</v>
      </c>
      <c r="C186" s="101">
        <f t="shared" si="15"/>
        <v>946</v>
      </c>
      <c r="D186" s="101">
        <f t="shared" si="16"/>
        <v>134</v>
      </c>
      <c r="E186" s="130" t="s">
        <v>1085</v>
      </c>
      <c r="F186" s="24" t="e">
        <f>VLOOKUP(D186,'Character sheet'!$X$49:$AB$62,4,FALSE)</f>
        <v>#N/A</v>
      </c>
      <c r="G186" s="24" t="e">
        <f>CONCATENATE("Range ",VLOOKUP(F186,HPs!$D$83:$K$98,2,FALSE),", max. amount ",VLOOKUP(F186,HPs!$N$65:$P$80,2,FALSE)," pounds per turn, lose 1 hp per pound")</f>
        <v>#N/A</v>
      </c>
      <c r="H186" s="24" t="s">
        <v>816</v>
      </c>
    </row>
    <row r="187" spans="1:8" ht="12.75">
      <c r="A187" s="129">
        <v>10</v>
      </c>
      <c r="B187" s="101">
        <v>71</v>
      </c>
      <c r="C187" s="101">
        <f t="shared" si="15"/>
        <v>971</v>
      </c>
      <c r="D187" s="101">
        <f t="shared" si="16"/>
        <v>135</v>
      </c>
      <c r="E187" s="130" t="s">
        <v>1086</v>
      </c>
      <c r="F187" s="24" t="e">
        <f>VLOOKUP(D187,'Character sheet'!$X$49:$AB$62,4,FALSE)</f>
        <v>#N/A</v>
      </c>
      <c r="G187" s="24" t="e">
        <f>CONCATENATE("Range ",VLOOKUP(F187,HPs!$D$83:$K$98,2,FALSE),", max. duration ",VLOOKUP(F187,HPs!$N$65:$P$80,2,FALSE)," turns")</f>
        <v>#N/A</v>
      </c>
      <c r="H187" s="24" t="s">
        <v>797</v>
      </c>
    </row>
    <row r="188" spans="1:8" ht="12.75">
      <c r="A188" s="132">
        <v>10</v>
      </c>
      <c r="B188" s="105">
        <v>81</v>
      </c>
      <c r="C188" s="105">
        <f t="shared" si="15"/>
        <v>981</v>
      </c>
      <c r="D188" s="105">
        <f t="shared" si="16"/>
        <v>136</v>
      </c>
      <c r="E188" s="133" t="s">
        <v>1087</v>
      </c>
      <c r="F188" s="24" t="e">
        <f>VLOOKUP(D188,'Character sheet'!$X$49:$AB$62,4,FALSE)</f>
        <v>#N/A</v>
      </c>
      <c r="G188" s="24" t="e">
        <f>CONCATENATE("Range ",VLOOKUP(F188,HPs!$D$83:$K$98,2,FALSE),", max. amount ",VLOOKUP(F188,HPs!$N$65:$P$80,2,FALSE)," pounds per turn, lose 1 hp per pound")</f>
        <v>#N/A</v>
      </c>
      <c r="H188" s="24" t="s">
        <v>816</v>
      </c>
    </row>
    <row r="189" spans="1:8" ht="12.75">
      <c r="A189" s="129">
        <v>11</v>
      </c>
      <c r="B189" s="101">
        <v>1</v>
      </c>
      <c r="C189" s="101">
        <f aca="true" t="shared" si="17" ref="C189:C196">B189+1000</f>
        <v>1001</v>
      </c>
      <c r="D189" s="101">
        <f t="shared" si="16"/>
        <v>137</v>
      </c>
      <c r="E189" s="130" t="s">
        <v>1088</v>
      </c>
      <c r="F189" s="24" t="e">
        <f>VLOOKUP(D189,'Character sheet'!$X$49:$AB$62,4,FALSE)</f>
        <v>#N/A</v>
      </c>
      <c r="G189" s="24" t="e">
        <f>CONCATENATE("Max. amount ",VLOOKUP(F189,HPs!$N$65:$P$80,2,FALSE)," ounces per turn within one area, lose 1 hp per ounce")</f>
        <v>#N/A</v>
      </c>
      <c r="H189" s="24" t="s">
        <v>802</v>
      </c>
    </row>
    <row r="190" spans="1:8" ht="12.75">
      <c r="A190" s="129">
        <v>11</v>
      </c>
      <c r="B190" s="101">
        <v>11</v>
      </c>
      <c r="C190" s="101">
        <f t="shared" si="17"/>
        <v>1011</v>
      </c>
      <c r="D190" s="101">
        <f t="shared" si="16"/>
        <v>138</v>
      </c>
      <c r="E190" s="130" t="s">
        <v>1089</v>
      </c>
      <c r="F190" s="24" t="e">
        <f>VLOOKUP(D190,'Character sheet'!$X$49:$AB$62,4,FALSE)</f>
        <v>#N/A</v>
      </c>
      <c r="G190" s="24" t="e">
        <f>CONCATENATE("Max. amount ",VLOOKUP(F190,HPs!$N$65:$P$80,2,FALSE)," ounces per turn within one area, lose 1 hp per ounce")</f>
        <v>#N/A</v>
      </c>
      <c r="H190" s="24" t="e">
        <f>CONCATENATE("Power-FEAT determines duration: green  = ",'Character sheet'!$D$15*100," turns, yellow = ",'Character sheet'!$D$15*10000," turns, red = permanent")</f>
        <v>#N/A</v>
      </c>
    </row>
    <row r="191" spans="1:8" ht="12.75">
      <c r="A191" s="129">
        <v>11</v>
      </c>
      <c r="B191" s="101">
        <v>25</v>
      </c>
      <c r="C191" s="101">
        <f t="shared" si="17"/>
        <v>1025</v>
      </c>
      <c r="D191" s="101">
        <f t="shared" si="16"/>
        <v>139</v>
      </c>
      <c r="E191" s="130" t="s">
        <v>1090</v>
      </c>
      <c r="F191" s="24" t="e">
        <f>VLOOKUP(D191,'Character sheet'!$X$49:$AB$62,4,FALSE)</f>
        <v>#N/A</v>
      </c>
      <c r="G191" s="24" t="e">
        <f>CONCATENATE("Max. amount ",VLOOKUP(F191,HPs!$N$65:$P$80,2,FALSE)," ounces per turn within one area, lose 1 hp per ounce")</f>
        <v>#N/A</v>
      </c>
      <c r="H191" s="24" t="s">
        <v>798</v>
      </c>
    </row>
    <row r="192" spans="1:8" ht="12.75">
      <c r="A192" s="129">
        <v>11</v>
      </c>
      <c r="B192" s="101">
        <v>30</v>
      </c>
      <c r="C192" s="101">
        <f t="shared" si="17"/>
        <v>1030</v>
      </c>
      <c r="D192" s="101">
        <f t="shared" si="16"/>
        <v>140</v>
      </c>
      <c r="E192" s="130" t="s">
        <v>1091</v>
      </c>
      <c r="F192" s="24" t="e">
        <f>VLOOKUP(D192,'Character sheet'!$X$49:$AB$62,4,FALSE)</f>
        <v>#N/A</v>
      </c>
      <c r="G192" s="24" t="e">
        <f>CONCATENATE("Max. amount ",VLOOKUP(F192,HPs!$N$65:$P$80,2,FALSE)," ounces per turn within one area, lose 1 hp per ounce")</f>
        <v>#N/A</v>
      </c>
      <c r="H192" s="24" t="s">
        <v>804</v>
      </c>
    </row>
    <row r="193" spans="1:8" ht="12.75">
      <c r="A193" s="129">
        <v>11</v>
      </c>
      <c r="B193" s="101">
        <v>36</v>
      </c>
      <c r="C193" s="101">
        <f t="shared" si="17"/>
        <v>1036</v>
      </c>
      <c r="D193" s="101">
        <f t="shared" si="16"/>
        <v>141</v>
      </c>
      <c r="E193" s="130" t="s">
        <v>1092</v>
      </c>
      <c r="F193" s="24" t="e">
        <f>VLOOKUP(D193,'Character sheet'!$X$49:$AB$62,4,FALSE)</f>
        <v>#N/A</v>
      </c>
      <c r="G193" s="24" t="e">
        <f>CONCATENATE("Max. amount ",VLOOKUP(F193,HPs!$N$65:$P$80,2,FALSE)," missiles per hour (600 turns), combine with other powers")</f>
        <v>#N/A</v>
      </c>
      <c r="H193" s="24" t="s">
        <v>805</v>
      </c>
    </row>
    <row r="194" spans="1:8" ht="12.75">
      <c r="A194" s="129">
        <v>11</v>
      </c>
      <c r="B194" s="101">
        <v>60</v>
      </c>
      <c r="C194" s="101">
        <f t="shared" si="17"/>
        <v>1060</v>
      </c>
      <c r="D194" s="101">
        <f t="shared" si="16"/>
        <v>142</v>
      </c>
      <c r="E194" s="130" t="s">
        <v>1093</v>
      </c>
      <c r="F194" s="24" t="e">
        <f>VLOOKUP(D194,'Character sheet'!$X$49:$AB$62,4,FALSE)</f>
        <v>#N/A</v>
      </c>
      <c r="G194" s="24" t="e">
        <f>CONCATENATE("Max. amount ",VLOOKUP(F194,HPs!$N$65:$P$80,2,FALSE)," ounces per turn within one area, lose 1 hp per ounce")</f>
        <v>#N/A</v>
      </c>
      <c r="H194" s="24" t="e">
        <f>CONCATENATE("Power-FEAT determines duration: green  = ",'Character sheet'!$D$15*100," turns, yellow = ",'Character sheet'!$D$15*10000," turns, red = permanent")</f>
        <v>#N/A</v>
      </c>
    </row>
    <row r="195" spans="1:8" ht="12.75">
      <c r="A195" s="129">
        <v>11</v>
      </c>
      <c r="B195" s="101">
        <v>70</v>
      </c>
      <c r="C195" s="101">
        <f t="shared" si="17"/>
        <v>1070</v>
      </c>
      <c r="D195" s="101">
        <f t="shared" si="16"/>
        <v>143</v>
      </c>
      <c r="E195" s="130" t="s">
        <v>1094</v>
      </c>
      <c r="F195" s="24" t="e">
        <f>VLOOKUP(D195,'Character sheet'!$X$49:$AB$62,4,FALSE)</f>
        <v>#N/A</v>
      </c>
      <c r="G195" s="24" t="e">
        <f>CONCATENATE("2 pt damage, -2CS visibility, ",VLOOKUP(F195,HPs!$N$65:$P$80,2,FALSE)," sprays per day, combine with other powers")</f>
        <v>#N/A</v>
      </c>
      <c r="H195" s="24" t="s">
        <v>806</v>
      </c>
    </row>
    <row r="196" spans="1:8" ht="12.75">
      <c r="A196" s="132">
        <v>11</v>
      </c>
      <c r="B196" s="105">
        <v>89</v>
      </c>
      <c r="C196" s="105">
        <f t="shared" si="17"/>
        <v>1089</v>
      </c>
      <c r="D196" s="105">
        <f t="shared" si="16"/>
        <v>144</v>
      </c>
      <c r="E196" s="133" t="s">
        <v>1095</v>
      </c>
      <c r="F196" s="24" t="e">
        <f>VLOOKUP(D196,'Character sheet'!$X$49:$AB$62,4,FALSE)</f>
        <v>#N/A</v>
      </c>
      <c r="G196" s="24" t="e">
        <f>CONCATENATE("Web strength ",VLOOKUP(F196,HPs!$N$65:$P$80,2,FALSE)," after 1 round, range 100 feet, max. ",VLOOKUP(F196,HPs!$N$65:$P$80,2,FALSE)," webs per day")</f>
        <v>#N/A</v>
      </c>
      <c r="H196" s="24" t="s">
        <v>807</v>
      </c>
    </row>
    <row r="197" spans="1:8" ht="12.75">
      <c r="A197" s="129">
        <v>12</v>
      </c>
      <c r="B197" s="101">
        <v>1</v>
      </c>
      <c r="C197" s="101">
        <f>B197+1100</f>
        <v>1101</v>
      </c>
      <c r="D197" s="101">
        <f t="shared" si="16"/>
        <v>145</v>
      </c>
      <c r="E197" s="130" t="s">
        <v>1096</v>
      </c>
      <c r="F197" s="24" t="e">
        <f>VLOOKUP(D197,'Character sheet'!$X$49:$AB$62,4,FALSE)</f>
        <v>#N/A</v>
      </c>
      <c r="G197" s="24" t="e">
        <f>CONCATENATE("Range ",VLOOKUP(F197,HPs!$D$83:$K$98,6,FALSE),", -1CS vs Psionic &amp; Sonic attacks")</f>
        <v>#N/A</v>
      </c>
      <c r="H197" s="24" t="s">
        <v>808</v>
      </c>
    </row>
    <row r="198" spans="1:8" ht="12.75">
      <c r="A198" s="129">
        <v>12</v>
      </c>
      <c r="B198" s="101">
        <v>5</v>
      </c>
      <c r="C198" s="101">
        <f aca="true" t="shared" si="18" ref="C198:C229">B198+1100</f>
        <v>1105</v>
      </c>
      <c r="D198" s="101">
        <f t="shared" si="16"/>
        <v>146</v>
      </c>
      <c r="E198" s="130" t="s">
        <v>1097</v>
      </c>
      <c r="F198" s="24" t="e">
        <f>VLOOKUP(D198,'Character sheet'!$X$49:$AB$62,4,FALSE)</f>
        <v>#N/A</v>
      </c>
      <c r="G198" s="24" t="e">
        <f>CONCATENATE("Range ",VLOOKUP(F198,HPs!$D$83:$K$98,6,FALSE),", -1CS vs Psionic &amp; Light attacks")</f>
        <v>#N/A</v>
      </c>
      <c r="H198" s="24" t="s">
        <v>809</v>
      </c>
    </row>
    <row r="199" spans="1:8" ht="12.75">
      <c r="A199" s="129">
        <v>12</v>
      </c>
      <c r="B199" s="101">
        <v>9</v>
      </c>
      <c r="C199" s="101">
        <f t="shared" si="18"/>
        <v>1109</v>
      </c>
      <c r="D199" s="101">
        <f t="shared" si="16"/>
        <v>147</v>
      </c>
      <c r="E199" s="130" t="s">
        <v>1098</v>
      </c>
      <c r="F199" s="24" t="e">
        <f>VLOOKUP(D199,'Character sheet'!$X$49:$AB$62,4,FALSE)</f>
        <v>#N/A</v>
      </c>
      <c r="G199" s="24" t="e">
        <f>CONCATENATE("Power rank ",VLOOKUP(F199,HPs!$N$65:$P$80,2,FALSE),", bonds easily with animals")</f>
        <v>#N/A</v>
      </c>
      <c r="H199" s="24" t="s">
        <v>813</v>
      </c>
    </row>
    <row r="200" spans="1:8" ht="12.75">
      <c r="A200" s="129">
        <v>12</v>
      </c>
      <c r="B200" s="101">
        <v>12</v>
      </c>
      <c r="C200" s="101">
        <f t="shared" si="18"/>
        <v>1112</v>
      </c>
      <c r="D200" s="101">
        <f t="shared" si="16"/>
        <v>148</v>
      </c>
      <c r="E200" s="130" t="s">
        <v>1099</v>
      </c>
      <c r="F200" s="24" t="e">
        <f>VLOOKUP(D200,'Character sheet'!$X$49:$AB$62,4,FALSE)</f>
        <v>#N/A</v>
      </c>
      <c r="G200" s="24" t="e">
        <f>CONCATENATE("Power rank ",VLOOKUP(F200,HPs!$N$65:$P$80,2,FALSE),", bonds easily with cybernetics")</f>
        <v>#N/A</v>
      </c>
      <c r="H200" s="24" t="s">
        <v>811</v>
      </c>
    </row>
    <row r="201" spans="1:8" ht="12.75">
      <c r="A201" s="129">
        <v>12</v>
      </c>
      <c r="B201" s="101">
        <v>13</v>
      </c>
      <c r="C201" s="101">
        <f t="shared" si="18"/>
        <v>1113</v>
      </c>
      <c r="D201" s="101">
        <f t="shared" si="16"/>
        <v>149</v>
      </c>
      <c r="E201" s="130" t="s">
        <v>1100</v>
      </c>
      <c r="F201" s="24" t="e">
        <f>VLOOKUP(D201,'Character sheet'!$X$49:$AB$62,4,FALSE)</f>
        <v>#N/A</v>
      </c>
      <c r="G201" s="24" t="e">
        <f>CONCATENATE("Power rank ",VLOOKUP(F201,HPs!$N$65:$P$80,2,FALSE),", bonds easily with non-living")</f>
        <v>#N/A</v>
      </c>
      <c r="H201" s="24" t="s">
        <v>810</v>
      </c>
    </row>
    <row r="202" spans="1:8" ht="12.75">
      <c r="A202" s="129">
        <v>12</v>
      </c>
      <c r="B202" s="101">
        <v>14</v>
      </c>
      <c r="C202" s="101">
        <f t="shared" si="18"/>
        <v>1114</v>
      </c>
      <c r="D202" s="101">
        <f t="shared" si="16"/>
        <v>150</v>
      </c>
      <c r="E202" s="130" t="s">
        <v>1101</v>
      </c>
      <c r="F202" s="24" t="e">
        <f>VLOOKUP(D202,'Character sheet'!$X$49:$AB$62,4,FALSE)</f>
        <v>#N/A</v>
      </c>
      <c r="G202" s="24" t="e">
        <f>CONCATENATE("Power rank ",VLOOKUP(F202,HPs!$N$65:$P$80,2,FALSE),", bonds easily with plants")</f>
        <v>#N/A</v>
      </c>
      <c r="H202" s="24" t="s">
        <v>812</v>
      </c>
    </row>
    <row r="203" spans="1:8" ht="12.75">
      <c r="A203" s="129">
        <v>12</v>
      </c>
      <c r="B203" s="101">
        <v>16</v>
      </c>
      <c r="C203" s="101">
        <f t="shared" si="18"/>
        <v>1116</v>
      </c>
      <c r="D203" s="101">
        <f t="shared" si="16"/>
        <v>151</v>
      </c>
      <c r="E203" s="130" t="s">
        <v>1102</v>
      </c>
      <c r="F203" s="24" t="e">
        <f>VLOOKUP(D203,'Character sheet'!$X$49:$AB$62,4,FALSE)</f>
        <v>#N/A</v>
      </c>
      <c r="G203" s="24" t="s">
        <v>540</v>
      </c>
      <c r="H203" s="24" t="s">
        <v>814</v>
      </c>
    </row>
    <row r="204" spans="1:8" ht="12.75">
      <c r="A204" s="129">
        <v>12</v>
      </c>
      <c r="B204" s="101">
        <v>17</v>
      </c>
      <c r="C204" s="101">
        <f t="shared" si="18"/>
        <v>1117</v>
      </c>
      <c r="D204" s="101">
        <f t="shared" si="16"/>
        <v>152</v>
      </c>
      <c r="E204" s="130" t="s">
        <v>1103</v>
      </c>
      <c r="F204" s="24" t="e">
        <f>VLOOKUP(D204,'Character sheet'!$X$49:$AB$62,4,FALSE)</f>
        <v>#N/A</v>
      </c>
      <c r="G204" s="24" t="e">
        <f>CONCATENATE("Warning: ",VLOOKUP(F204,HPs!$N$65:$P$80,2,FALSE)," seconds, use for intuition, blocking, dodging, escaping")</f>
        <v>#N/A</v>
      </c>
      <c r="H204" s="24" t="s">
        <v>815</v>
      </c>
    </row>
    <row r="205" spans="1:8" ht="12.75">
      <c r="A205" s="129">
        <v>12</v>
      </c>
      <c r="B205" s="101">
        <v>23</v>
      </c>
      <c r="C205" s="101">
        <f t="shared" si="18"/>
        <v>1123</v>
      </c>
      <c r="D205" s="101">
        <f t="shared" si="16"/>
        <v>153</v>
      </c>
      <c r="E205" s="130" t="s">
        <v>1104</v>
      </c>
      <c r="F205" s="24" t="e">
        <f>VLOOKUP(D205,'Character sheet'!$X$49:$AB$62,4,FALSE)</f>
        <v>#N/A</v>
      </c>
      <c r="G205" s="24" t="e">
        <f>CONCATENATE("Power rank ",VLOOKUP(F205,HPs!$N$65:$P$80,2,FALSE),", all ranks are ",F205," in dream world")</f>
        <v>#N/A</v>
      </c>
      <c r="H205" s="24" t="s">
        <v>817</v>
      </c>
    </row>
    <row r="206" spans="1:8" ht="12.75">
      <c r="A206" s="129">
        <v>12</v>
      </c>
      <c r="B206" s="101">
        <v>24</v>
      </c>
      <c r="C206" s="101">
        <f t="shared" si="18"/>
        <v>1124</v>
      </c>
      <c r="D206" s="101">
        <f t="shared" si="16"/>
        <v>154</v>
      </c>
      <c r="E206" s="130" t="s">
        <v>1105</v>
      </c>
      <c r="F206" s="24" t="e">
        <f>VLOOKUP(D206,'Character sheet'!$X$49:$AB$62,4,FALSE)</f>
        <v>#N/A</v>
      </c>
      <c r="G206" s="24" t="e">
        <f>CONCATENATE("Range ",VLOOKUP(F206,HPs!$D$83:$K$98,3,FALSE)," for single target, -1CS for every additional target")</f>
        <v>#N/A</v>
      </c>
      <c r="H206" s="24" t="s">
        <v>818</v>
      </c>
    </row>
    <row r="207" spans="1:8" ht="12.75">
      <c r="A207" s="129">
        <v>12</v>
      </c>
      <c r="B207" s="101">
        <v>27</v>
      </c>
      <c r="C207" s="101">
        <f t="shared" si="18"/>
        <v>1127</v>
      </c>
      <c r="D207" s="101">
        <f t="shared" si="16"/>
        <v>155</v>
      </c>
      <c r="E207" s="130" t="s">
        <v>1106</v>
      </c>
      <c r="F207" s="24" t="e">
        <f>VLOOKUP(D207,'Character sheet'!$X$49:$AB$62,4,FALSE)</f>
        <v>#N/A</v>
      </c>
      <c r="G207" s="24" t="e">
        <f>CONCATENATE("Power rank ",VLOOKUP(F207,HPs!$N$65:$P$80,2,FALSE))</f>
        <v>#N/A</v>
      </c>
      <c r="H207" s="24" t="s">
        <v>819</v>
      </c>
    </row>
    <row r="208" spans="1:8" ht="12.75">
      <c r="A208" s="129">
        <v>12</v>
      </c>
      <c r="B208" s="101">
        <v>28</v>
      </c>
      <c r="C208" s="101">
        <f t="shared" si="18"/>
        <v>1128</v>
      </c>
      <c r="D208" s="101">
        <f t="shared" si="16"/>
        <v>156</v>
      </c>
      <c r="E208" s="130" t="s">
        <v>1107</v>
      </c>
      <c r="F208" s="24" t="e">
        <f>VLOOKUP(D208,'Character sheet'!$X$49:$AB$62,4,FALSE)</f>
        <v>#N/A</v>
      </c>
      <c r="G208" s="24" t="e">
        <f>CONCATENATE("Range ",VLOOKUP(F208,HPs!$D$83:$K$98,2,FALSE)," for single target, -1CS for every additional target")</f>
        <v>#N/A</v>
      </c>
      <c r="H208" s="24" t="s">
        <v>820</v>
      </c>
    </row>
    <row r="209" spans="1:8" ht="12.75">
      <c r="A209" s="129">
        <v>12</v>
      </c>
      <c r="B209" s="101">
        <v>32</v>
      </c>
      <c r="C209" s="101">
        <f t="shared" si="18"/>
        <v>1132</v>
      </c>
      <c r="D209" s="101">
        <f t="shared" si="16"/>
        <v>157</v>
      </c>
      <c r="E209" s="130" t="s">
        <v>1108</v>
      </c>
      <c r="F209" s="24" t="e">
        <f>VLOOKUP(D209,'Character sheet'!$X$49:$AB$62,4,FALSE)</f>
        <v>#N/A</v>
      </c>
      <c r="G209" s="24" t="e">
        <f>CONCATENATE("Either add ",VLOOKUP(F209,HPs!$N$65:$P$80,2,FALSE)," to Rea/Int, or add ",VLOOKUP(F209,HPs!$D$83:$P$98,13,FALSE)," to Rea/Int for ",VLOOKUP(F209,HPs!$N$65:$P$80,2,FALSE)," minutes")</f>
        <v>#N/A</v>
      </c>
      <c r="H209" s="24" t="s">
        <v>821</v>
      </c>
    </row>
    <row r="210" spans="1:8" ht="12.75">
      <c r="A210" s="129">
        <v>12</v>
      </c>
      <c r="B210" s="101">
        <v>41</v>
      </c>
      <c r="C210" s="101">
        <f t="shared" si="18"/>
        <v>1141</v>
      </c>
      <c r="D210" s="101">
        <f t="shared" si="16"/>
        <v>158</v>
      </c>
      <c r="E210" s="130" t="s">
        <v>1109</v>
      </c>
      <c r="F210" s="24" t="e">
        <f>VLOOKUP(D210,'Character sheet'!$X$49:$AB$62,4,FALSE)</f>
        <v>#N/A</v>
      </c>
      <c r="G210" s="24" t="e">
        <f>CONCATENATE("Power rank ",VLOOKUP(F210,HPs!$N$65:$P$80,2,FALSE),", building costs -2CS")</f>
        <v>#N/A</v>
      </c>
      <c r="H210" s="24" t="s">
        <v>821</v>
      </c>
    </row>
    <row r="211" spans="1:8" ht="12.75">
      <c r="A211" s="129">
        <v>12</v>
      </c>
      <c r="B211" s="101">
        <v>48</v>
      </c>
      <c r="C211" s="101">
        <f t="shared" si="18"/>
        <v>1148</v>
      </c>
      <c r="D211" s="101">
        <f t="shared" si="16"/>
        <v>159</v>
      </c>
      <c r="E211" s="130" t="s">
        <v>1110</v>
      </c>
      <c r="F211" s="24" t="e">
        <f>VLOOKUP(D211,'Character sheet'!$X$49:$AB$62,4,FALSE)</f>
        <v>#N/A</v>
      </c>
      <c r="G211" s="24" t="e">
        <f>CONCATENATE(VLOOKUP(F211,HPs!$N$65:$P$80,2,FALSE)," past life contacts, up to ",VLOOKUP(F211,HPs!$N$65:$P$80,2,FALSE)*70," years of history")</f>
        <v>#N/A</v>
      </c>
      <c r="H211" s="24" t="s">
        <v>822</v>
      </c>
    </row>
    <row r="212" spans="1:8" ht="12.75">
      <c r="A212" s="129">
        <v>12</v>
      </c>
      <c r="B212" s="101">
        <v>49</v>
      </c>
      <c r="C212" s="101">
        <f t="shared" si="18"/>
        <v>1149</v>
      </c>
      <c r="D212" s="101">
        <f t="shared" si="16"/>
        <v>160</v>
      </c>
      <c r="E212" s="130" t="s">
        <v>1111</v>
      </c>
      <c r="F212" s="24" t="e">
        <f>VLOOKUP(D212,'Character sheet'!$X$49:$AB$62,4,FALSE)</f>
        <v>#N/A</v>
      </c>
      <c r="G212" s="24" t="e">
        <f>CONCATENATE("May absorb ",VLOOKUP(F212,HPs!$N$65:$P$80,2,FALSE)," damage, may be used to check resistance agains attack")</f>
        <v>#N/A</v>
      </c>
      <c r="H212" s="24" t="s">
        <v>823</v>
      </c>
    </row>
    <row r="213" spans="1:8" ht="12.75">
      <c r="A213" s="129">
        <v>12</v>
      </c>
      <c r="B213" s="101">
        <v>59</v>
      </c>
      <c r="C213" s="101">
        <f t="shared" si="18"/>
        <v>1159</v>
      </c>
      <c r="D213" s="101">
        <f t="shared" si="16"/>
        <v>161</v>
      </c>
      <c r="E213" s="130" t="s">
        <v>1112</v>
      </c>
      <c r="F213" s="24" t="e">
        <f>VLOOKUP(D213,'Character sheet'!$X$49:$AB$62,4,FALSE)</f>
        <v>#N/A</v>
      </c>
      <c r="G213" s="24" t="e">
        <f>CONCATENATE("May speak up to ",VLOOKUP(F213,HPs!$N$65:$P$80,2,FALSE)," languages, ",F213," resistance to hypnotic voice")</f>
        <v>#N/A</v>
      </c>
      <c r="H213" s="24" t="s">
        <v>824</v>
      </c>
    </row>
    <row r="214" spans="1:8" ht="12.75">
      <c r="A214" s="129">
        <v>12</v>
      </c>
      <c r="B214" s="101">
        <v>66</v>
      </c>
      <c r="C214" s="101">
        <f t="shared" si="18"/>
        <v>1166</v>
      </c>
      <c r="D214" s="101">
        <f t="shared" si="16"/>
        <v>162</v>
      </c>
      <c r="E214" s="130" t="s">
        <v>1113</v>
      </c>
      <c r="F214" s="24" t="e">
        <f>VLOOKUP(D214,'Character sheet'!$X$49:$AB$62,4,FALSE)</f>
        <v>#N/A</v>
      </c>
      <c r="G214" s="24" t="e">
        <f>CONCATENATE("Range ",VLOOKUP(F214,HPs!$D$83:$I$98,2,FALSE),", form: ",$AF$13,", duration ",'Character sheet'!$D$17," minutes")</f>
        <v>#N/A</v>
      </c>
      <c r="H214" s="24" t="s">
        <v>825</v>
      </c>
    </row>
    <row r="215" spans="1:8" ht="12.75">
      <c r="A215" s="129">
        <v>12</v>
      </c>
      <c r="B215" s="101">
        <v>67</v>
      </c>
      <c r="C215" s="101">
        <f t="shared" si="18"/>
        <v>1167</v>
      </c>
      <c r="D215" s="101">
        <f t="shared" si="16"/>
        <v>163</v>
      </c>
      <c r="E215" s="130" t="s">
        <v>1114</v>
      </c>
      <c r="F215" s="24" t="e">
        <f>VLOOKUP(D215,'Character sheet'!$X$49:$AB$62,4,FALSE)</f>
        <v>#N/A</v>
      </c>
      <c r="G215" s="24" t="e">
        <f>CONCATENATE("Power rank ",VLOOKUP(F215,HPs!$N$65:$P$80,2,FALSE),", resistance to psionics")</f>
        <v>#N/A</v>
      </c>
      <c r="H215" s="24" t="s">
        <v>826</v>
      </c>
    </row>
    <row r="216" spans="1:11" ht="12.75">
      <c r="A216" s="129">
        <v>12</v>
      </c>
      <c r="B216" s="101">
        <v>68</v>
      </c>
      <c r="C216" s="101">
        <f t="shared" si="18"/>
        <v>1168</v>
      </c>
      <c r="D216" s="101">
        <f t="shared" si="16"/>
        <v>164</v>
      </c>
      <c r="E216" s="130" t="s">
        <v>1115</v>
      </c>
      <c r="F216" s="24" t="e">
        <f>VLOOKUP(D216,'Character sheet'!$X$49:$AB$62,4,FALSE)</f>
        <v>#N/A</v>
      </c>
      <c r="G216" s="24" t="e">
        <f>CONCATENATE("Range ",VLOOKUP(K216,HPs!$D$83:$I$98,2,FALSE))</f>
        <v>#N/A</v>
      </c>
      <c r="H216" s="24" t="s">
        <v>827</v>
      </c>
      <c r="K216" s="24" t="e">
        <f>IF(VLOOKUP(D216,'Character sheet'!$X$49:$Z$62,3,FALSE)&gt;=1,"Feeble",Powers!F216)</f>
        <v>#N/A</v>
      </c>
    </row>
    <row r="217" spans="1:8" ht="12.75">
      <c r="A217" s="129">
        <v>12</v>
      </c>
      <c r="B217" s="101">
        <v>70</v>
      </c>
      <c r="C217" s="101">
        <f t="shared" si="18"/>
        <v>1170</v>
      </c>
      <c r="D217" s="101">
        <f t="shared" si="16"/>
        <v>165</v>
      </c>
      <c r="E217" s="130" t="s">
        <v>1116</v>
      </c>
      <c r="F217" s="24" t="e">
        <f>VLOOKUP(D217,'Character sheet'!$X$49:$AB$62,4,FALSE)</f>
        <v>#N/A</v>
      </c>
      <c r="G217" s="24" t="e">
        <f>CONCATENATE("Range ",VLOOKUP(F217,HPs!$D$83:$I$98,2,FALSE))</f>
        <v>#N/A</v>
      </c>
      <c r="H217" s="24" t="s">
        <v>828</v>
      </c>
    </row>
    <row r="218" spans="1:8" ht="12.75">
      <c r="A218" s="129">
        <v>12</v>
      </c>
      <c r="B218" s="101">
        <v>73</v>
      </c>
      <c r="C218" s="101">
        <f t="shared" si="18"/>
        <v>1173</v>
      </c>
      <c r="D218" s="101">
        <f t="shared" si="16"/>
        <v>166</v>
      </c>
      <c r="E218" s="130" t="s">
        <v>1117</v>
      </c>
      <c r="F218" s="24" t="e">
        <f>VLOOKUP(D218,'Character sheet'!$X$49:$AB$62,4,FALSE)</f>
        <v>#N/A</v>
      </c>
      <c r="G218" s="24" t="e">
        <f>CONCATENATE("Range ",VLOOKUP(F218,HPs!$D$83:$I$98,2,FALSE),", target's reason &amp; intuition are readuced by ",VLOOKUP(F218,HPs!$N$65:$P$80,2,FALSE))</f>
        <v>#N/A</v>
      </c>
      <c r="H218" s="24" t="s">
        <v>829</v>
      </c>
    </row>
    <row r="219" spans="1:8" ht="12.75">
      <c r="A219" s="129">
        <v>12</v>
      </c>
      <c r="B219" s="101">
        <v>74</v>
      </c>
      <c r="C219" s="101">
        <f t="shared" si="18"/>
        <v>1174</v>
      </c>
      <c r="D219" s="101">
        <f t="shared" si="16"/>
        <v>167</v>
      </c>
      <c r="E219" s="130" t="s">
        <v>1118</v>
      </c>
      <c r="F219" s="24" t="e">
        <f>VLOOKUP(D219,'Character sheet'!$X$49:$AB$62,4,FALSE)</f>
        <v>#N/A</v>
      </c>
      <c r="G219" s="24" t="e">
        <f>CONCATENATE("Sees events ",VLOOKUP(F219,HPs!$N$65:$P$80,2,FALSE)," weeks ago, +1CS on friends, +2CS on self")</f>
        <v>#N/A</v>
      </c>
      <c r="H219" s="24" t="s">
        <v>830</v>
      </c>
    </row>
    <row r="220" spans="1:8" ht="12.75">
      <c r="A220" s="129">
        <v>12</v>
      </c>
      <c r="B220" s="101">
        <v>75</v>
      </c>
      <c r="C220" s="101">
        <f t="shared" si="18"/>
        <v>1175</v>
      </c>
      <c r="D220" s="101">
        <f t="shared" si="16"/>
        <v>168</v>
      </c>
      <c r="E220" s="130" t="s">
        <v>1119</v>
      </c>
      <c r="F220" s="24" t="e">
        <f>VLOOKUP(D220,'Character sheet'!$X$49:$AB$62,4,FALSE)</f>
        <v>#N/A</v>
      </c>
      <c r="G220" s="24" t="e">
        <f>CONCATENATE("Sees events ",VLOOKUP(F220,HPs!$N$65:$P$80,2,FALSE)*2," hours ahead, +1CS on friends, +2CS on self")</f>
        <v>#N/A</v>
      </c>
      <c r="H220" s="24" t="s">
        <v>831</v>
      </c>
    </row>
    <row r="221" spans="1:8" ht="12.75">
      <c r="A221" s="129">
        <v>12</v>
      </c>
      <c r="B221" s="101">
        <v>76</v>
      </c>
      <c r="C221" s="101">
        <f t="shared" si="18"/>
        <v>1176</v>
      </c>
      <c r="D221" s="101">
        <f t="shared" si="16"/>
        <v>169</v>
      </c>
      <c r="E221" s="130" t="s">
        <v>1120</v>
      </c>
      <c r="F221" s="24" t="e">
        <f>VLOOKUP(D221,'Character sheet'!$X$49:$AB$62,4,FALSE)</f>
        <v>#N/A</v>
      </c>
      <c r="G221" s="24" t="e">
        <f>CONCATENATE("Power ",VLOOKUP(F221,HPs!$N$65:$O$80,2,FALSE),", range ",VLOOKUP(F221,HPs!$D$83:$I$98,2,FALSE),", Str, End, Psy and powers drop 1pt/hour")</f>
        <v>#N/A</v>
      </c>
      <c r="H221" s="24" t="s">
        <v>558</v>
      </c>
    </row>
    <row r="222" spans="1:8" ht="12.75">
      <c r="A222" s="129">
        <v>12</v>
      </c>
      <c r="B222" s="101">
        <v>77</v>
      </c>
      <c r="C222" s="101">
        <f t="shared" si="18"/>
        <v>1177</v>
      </c>
      <c r="D222" s="101">
        <f t="shared" si="16"/>
        <v>170</v>
      </c>
      <c r="E222" s="130" t="s">
        <v>1121</v>
      </c>
      <c r="F222" s="24" t="e">
        <f>VLOOKUP(D222,'Character sheet'!$X$49:$AB$62,4,FALSE)</f>
        <v>#N/A</v>
      </c>
      <c r="G222" s="24" t="e">
        <f>CONCATENATE("Choose one type of sense, range ",VLOOKUP(F222,HPs!$D$83:$K$98,6,FALSE),", -1CS vs Psionic attacks")</f>
        <v>#N/A</v>
      </c>
      <c r="H222" s="24" t="s">
        <v>832</v>
      </c>
    </row>
    <row r="223" spans="1:8" ht="12.75">
      <c r="A223" s="129">
        <v>12</v>
      </c>
      <c r="B223" s="101">
        <v>79</v>
      </c>
      <c r="C223" s="101">
        <f t="shared" si="18"/>
        <v>1179</v>
      </c>
      <c r="D223" s="101">
        <f t="shared" si="16"/>
        <v>171</v>
      </c>
      <c r="E223" s="130" t="s">
        <v>1122</v>
      </c>
      <c r="F223" s="24" t="e">
        <f>VLOOKUP(D223,'Character sheet'!$X$49:$AB$62,4,FALSE)</f>
        <v>#N/A</v>
      </c>
      <c r="G223" s="131" t="s">
        <v>547</v>
      </c>
      <c r="H223" s="24" t="s">
        <v>833</v>
      </c>
    </row>
    <row r="224" spans="1:8" ht="12.75">
      <c r="A224" s="129">
        <v>12</v>
      </c>
      <c r="B224" s="101">
        <v>80</v>
      </c>
      <c r="C224" s="101">
        <f t="shared" si="18"/>
        <v>1180</v>
      </c>
      <c r="D224" s="101">
        <f t="shared" si="16"/>
        <v>172</v>
      </c>
      <c r="E224" s="130" t="s">
        <v>1123</v>
      </c>
      <c r="F224" s="24" t="e">
        <f>VLOOKUP(D224,'Character sheet'!$X$49:$AB$62,4,FALSE)</f>
        <v>#N/A</v>
      </c>
      <c r="G224" s="24" t="e">
        <f>CONCATENATE("Type of aquiring a new body: ",$AH$13)</f>
        <v>#N/A</v>
      </c>
      <c r="H224" s="24" t="s">
        <v>834</v>
      </c>
    </row>
    <row r="225" spans="1:8" ht="12.75">
      <c r="A225" s="129">
        <v>12</v>
      </c>
      <c r="B225" s="101">
        <v>81</v>
      </c>
      <c r="C225" s="101">
        <f t="shared" si="18"/>
        <v>1181</v>
      </c>
      <c r="D225" s="101">
        <f t="shared" si="16"/>
        <v>173</v>
      </c>
      <c r="E225" s="130" t="s">
        <v>1124</v>
      </c>
      <c r="F225" s="24" t="e">
        <f>VLOOKUP(D225,'Character sheet'!$X$49:$AB$62,4,FALSE)</f>
        <v>#N/A</v>
      </c>
      <c r="G225" s="24" t="e">
        <f>CONCATENATE("Range ",VLOOKUP(F225,HPs!$D$83:$K$98,6,FALSE))</f>
        <v>#N/A</v>
      </c>
      <c r="H225" s="24" t="s">
        <v>835</v>
      </c>
    </row>
    <row r="226" spans="1:8" ht="12.75">
      <c r="A226" s="129">
        <v>12</v>
      </c>
      <c r="B226" s="101">
        <v>82</v>
      </c>
      <c r="C226" s="101">
        <f t="shared" si="18"/>
        <v>1182</v>
      </c>
      <c r="D226" s="101">
        <f t="shared" si="16"/>
        <v>174</v>
      </c>
      <c r="E226" s="130" t="s">
        <v>1125</v>
      </c>
      <c r="F226" s="24" t="e">
        <f>VLOOKUP(D226,'Character sheet'!$X$49:$AB$62,4,FALSE)</f>
        <v>#N/A</v>
      </c>
      <c r="G226" s="24" t="e">
        <f>CONCATENATE("Power strength ",VLOOKUP(F226,HPs!$N$65:$P$80,2,FALSE),", range ",VLOOKUP(F226,HPs!$D$83:$I$98,2,FALSE))</f>
        <v>#N/A</v>
      </c>
      <c r="H226" s="24" t="s">
        <v>836</v>
      </c>
    </row>
    <row r="227" spans="1:8" ht="12.75">
      <c r="A227" s="129">
        <v>12</v>
      </c>
      <c r="B227" s="101">
        <v>86</v>
      </c>
      <c r="C227" s="101">
        <f t="shared" si="18"/>
        <v>1186</v>
      </c>
      <c r="D227" s="101">
        <f t="shared" si="16"/>
        <v>175</v>
      </c>
      <c r="E227" s="130" t="s">
        <v>1126</v>
      </c>
      <c r="F227" s="24" t="e">
        <f>VLOOKUP(D227,'Character sheet'!$X$49:$AB$62,4,FALSE)</f>
        <v>#N/A</v>
      </c>
      <c r="G227" s="24" t="e">
        <f>CONCATENATE("Location range ",VLOOKUP(F227,HPs!$D$83:$I$98,5,FALSE))</f>
        <v>#N/A</v>
      </c>
      <c r="H227" s="24" t="s">
        <v>837</v>
      </c>
    </row>
    <row r="228" spans="1:8" ht="12.75">
      <c r="A228" s="129">
        <v>12</v>
      </c>
      <c r="B228" s="101">
        <v>87</v>
      </c>
      <c r="C228" s="101">
        <f t="shared" si="18"/>
        <v>1187</v>
      </c>
      <c r="D228" s="101">
        <f t="shared" si="16"/>
        <v>176</v>
      </c>
      <c r="E228" s="130" t="s">
        <v>1127</v>
      </c>
      <c r="F228" s="24" t="e">
        <f>VLOOKUP(D228,'Character sheet'!$X$49:$AB$62,4,FALSE)</f>
        <v>#N/A</v>
      </c>
      <c r="G228" s="24" t="e">
        <f>CONCATENATE("Telepathy range ",VLOOKUP(F228,HPs!$D$83:$I$98,5,FALSE))</f>
        <v>#N/A</v>
      </c>
      <c r="H228" s="24" t="s">
        <v>838</v>
      </c>
    </row>
    <row r="229" spans="1:8" ht="12.75">
      <c r="A229" s="132">
        <v>12</v>
      </c>
      <c r="B229" s="105">
        <v>97</v>
      </c>
      <c r="C229" s="105">
        <f t="shared" si="18"/>
        <v>1197</v>
      </c>
      <c r="D229" s="105">
        <f t="shared" si="16"/>
        <v>177</v>
      </c>
      <c r="E229" s="133" t="s">
        <v>1128</v>
      </c>
      <c r="F229" s="24" t="e">
        <f>VLOOKUP(D229,'Character sheet'!$X$49:$AB$62,4,FALSE)</f>
        <v>#N/A</v>
      </c>
      <c r="G229" s="24" t="e">
        <f>CONCATENATE("Memory accuracy ",VLOOKUP(F229,HPs!$N$65:$P$80,3,FALSE)," %")</f>
        <v>#N/A</v>
      </c>
      <c r="H229" s="24" t="s">
        <v>839</v>
      </c>
    </row>
    <row r="230" spans="1:8" ht="12.75">
      <c r="A230" s="129">
        <v>13</v>
      </c>
      <c r="B230" s="101">
        <v>1</v>
      </c>
      <c r="C230" s="101">
        <f>B230+1200</f>
        <v>1201</v>
      </c>
      <c r="D230" s="101">
        <f t="shared" si="16"/>
        <v>178</v>
      </c>
      <c r="E230" s="130" t="s">
        <v>1129</v>
      </c>
      <c r="F230" s="24" t="e">
        <f>VLOOKUP(D230,'Character sheet'!$X$49:$AB$62,4,FALSE)</f>
        <v>#N/A</v>
      </c>
      <c r="G230" s="24" t="e">
        <f>CONCATENATE("Decreaces ",VLOOKUP(F230,HPs!$N$65:$P$80,3,FALSE)," physical &amp; energy damage")</f>
        <v>#N/A</v>
      </c>
      <c r="H230" s="24" t="s">
        <v>882</v>
      </c>
    </row>
    <row r="231" spans="1:8" ht="12.75">
      <c r="A231" s="129">
        <v>13</v>
      </c>
      <c r="B231" s="101">
        <v>15</v>
      </c>
      <c r="C231" s="101">
        <f aca="true" t="shared" si="19" ref="C231:C246">B231+1200</f>
        <v>1215</v>
      </c>
      <c r="D231" s="101">
        <f t="shared" si="16"/>
        <v>179</v>
      </c>
      <c r="E231" s="130" t="s">
        <v>1130</v>
      </c>
      <c r="F231" s="24" t="e">
        <f>VLOOKUP(D231,'Character sheet'!$X$49:$AB$62,4,FALSE)</f>
        <v>#N/A</v>
      </c>
      <c r="G231" s="24" t="e">
        <f>CONCATENATE("Decreaces ",VLOOKUP(F231,HPs!$N$65:$P$80,3,FALSE)," physical &amp; energy damage")</f>
        <v>#N/A</v>
      </c>
      <c r="H231" s="24" t="s">
        <v>840</v>
      </c>
    </row>
    <row r="232" spans="1:8" ht="12.75">
      <c r="A232" s="129">
        <v>13</v>
      </c>
      <c r="B232" s="101">
        <v>29</v>
      </c>
      <c r="C232" s="101">
        <f t="shared" si="19"/>
        <v>1229</v>
      </c>
      <c r="D232" s="101">
        <f t="shared" si="16"/>
        <v>180</v>
      </c>
      <c r="E232" s="130" t="s">
        <v>1131</v>
      </c>
      <c r="F232" s="24" t="e">
        <f>VLOOKUP(D232,'Character sheet'!$X$49:$AB$62,4,FALSE)</f>
        <v>#N/A</v>
      </c>
      <c r="G232" s="24" t="e">
        <f>CONCATENATE("Power rank ",VLOOKUP(F232,HPs!$N$65:$P$80,2,FALSE),", range limited to contact only")</f>
        <v>#N/A</v>
      </c>
      <c r="H232" s="24" t="s">
        <v>841</v>
      </c>
    </row>
    <row r="233" spans="1:12" ht="12.75">
      <c r="A233" s="129">
        <v>13</v>
      </c>
      <c r="B233" s="101">
        <v>31</v>
      </c>
      <c r="C233" s="101">
        <f t="shared" si="19"/>
        <v>1231</v>
      </c>
      <c r="D233" s="101">
        <f t="shared" si="16"/>
        <v>181</v>
      </c>
      <c r="E233" s="130" t="s">
        <v>1132</v>
      </c>
      <c r="F233" s="24" t="e">
        <f>VLOOKUP(D233,'Character sheet'!$X$49:$AB$62,4,FALSE)</f>
        <v>#N/A</v>
      </c>
      <c r="G233" s="24" t="e">
        <f>CONCATENATE("Provides ",VLOOKUP(L233,HPs!$M$65:$O$80,2,FALSE)," resistance to liquid &amp; solid toxins")</f>
        <v>#N/A</v>
      </c>
      <c r="H233" s="24" t="s">
        <v>850</v>
      </c>
      <c r="K233" s="24" t="e">
        <f>VLOOKUP(F233,HPs!$N$65:$Q$80,4,FALSE)</f>
        <v>#N/A</v>
      </c>
      <c r="L233" s="24" t="e">
        <f>4+K233</f>
        <v>#N/A</v>
      </c>
    </row>
    <row r="234" spans="1:8" ht="12.75">
      <c r="A234" s="129">
        <v>13</v>
      </c>
      <c r="B234" s="101">
        <v>34</v>
      </c>
      <c r="C234" s="101">
        <f t="shared" si="19"/>
        <v>1234</v>
      </c>
      <c r="D234" s="101">
        <f t="shared" si="16"/>
        <v>182</v>
      </c>
      <c r="E234" s="130" t="s">
        <v>1133</v>
      </c>
      <c r="F234" s="24" t="e">
        <f>VLOOKUP(D234,'Character sheet'!$X$49:$AB$62,4,FALSE)</f>
        <v>#N/A</v>
      </c>
      <c r="G234" s="24" t="e">
        <f>CONCATENATE("Carries out tasks ",VLOOKUP(F234,HPs!$N$65:$P$80,2,FALSE)," times faster than normal")</f>
        <v>#N/A</v>
      </c>
      <c r="H234" s="24" t="s">
        <v>842</v>
      </c>
    </row>
    <row r="235" spans="1:8" ht="12.75">
      <c r="A235" s="129">
        <v>13</v>
      </c>
      <c r="B235" s="101">
        <v>41</v>
      </c>
      <c r="C235" s="101">
        <f t="shared" si="19"/>
        <v>1241</v>
      </c>
      <c r="D235" s="101">
        <f t="shared" si="16"/>
        <v>183</v>
      </c>
      <c r="E235" s="130" t="s">
        <v>1134</v>
      </c>
      <c r="F235" s="24" t="e">
        <f>VLOOKUP(D235,'Character sheet'!$X$49:$AB$62,4,FALSE)</f>
        <v>#N/A</v>
      </c>
      <c r="G235" s="24" t="e">
        <f>CONCATENATE("Optimal range 20', -1CS for every additional 20', power rank ",VLOOKUP(F235,HPs!$N$65:$P$80,2,FALSE))</f>
        <v>#N/A</v>
      </c>
      <c r="H235" s="24" t="s">
        <v>852</v>
      </c>
    </row>
    <row r="236" spans="1:8" ht="12.75">
      <c r="A236" s="129">
        <v>13</v>
      </c>
      <c r="B236" s="101">
        <v>43</v>
      </c>
      <c r="C236" s="101">
        <f t="shared" si="19"/>
        <v>1243</v>
      </c>
      <c r="D236" s="101">
        <f t="shared" si="16"/>
        <v>184</v>
      </c>
      <c r="E236" s="130" t="s">
        <v>1135</v>
      </c>
      <c r="F236" s="24" t="e">
        <f>VLOOKUP(D236,'Character sheet'!$X$49:$AB$62,4,FALSE)</f>
        <v>#N/A</v>
      </c>
      <c r="G236" s="24" t="s">
        <v>552</v>
      </c>
      <c r="H236" s="24" t="s">
        <v>849</v>
      </c>
    </row>
    <row r="237" spans="1:8" ht="12.75">
      <c r="A237" s="129">
        <v>13</v>
      </c>
      <c r="B237" s="101">
        <v>46</v>
      </c>
      <c r="C237" s="101">
        <f t="shared" si="19"/>
        <v>1246</v>
      </c>
      <c r="D237" s="101">
        <f t="shared" si="16"/>
        <v>185</v>
      </c>
      <c r="E237" s="130" t="s">
        <v>1136</v>
      </c>
      <c r="F237" s="24" t="e">
        <f>VLOOKUP(D237,'Character sheet'!$X$49:$AB$62,4,FALSE)</f>
        <v>#N/A</v>
      </c>
      <c r="G237" s="24" t="e">
        <f>CONCATENATE("Optimal range 20', -1CS for every additional 20', power rank ",VLOOKUP(F237,HPs!$N$65:$P$80,2,FALSE))</f>
        <v>#N/A</v>
      </c>
      <c r="H237" s="24" t="s">
        <v>851</v>
      </c>
    </row>
    <row r="238" spans="1:8" ht="12.75">
      <c r="A238" s="129">
        <v>13</v>
      </c>
      <c r="B238" s="101">
        <v>48</v>
      </c>
      <c r="C238" s="101">
        <f t="shared" si="19"/>
        <v>1248</v>
      </c>
      <c r="D238" s="101">
        <f t="shared" si="16"/>
        <v>186</v>
      </c>
      <c r="E238" s="130" t="s">
        <v>1137</v>
      </c>
      <c r="F238" s="24" t="e">
        <f>VLOOKUP(D238,'Character sheet'!$X$49:$AB$62,4,FALSE)</f>
        <v>#N/A</v>
      </c>
      <c r="G238" s="24" t="e">
        <f>CONCATENATE("Healing takes place ",VLOOKUP(F238,HPs!$N$65:$P$80,2,FALSE)," times faster than normal")</f>
        <v>#N/A</v>
      </c>
      <c r="H238" s="24" t="s">
        <v>853</v>
      </c>
    </row>
    <row r="239" spans="1:8" ht="12.75">
      <c r="A239" s="129">
        <v>13</v>
      </c>
      <c r="B239" s="101">
        <v>61</v>
      </c>
      <c r="C239" s="101">
        <f t="shared" si="19"/>
        <v>1261</v>
      </c>
      <c r="D239" s="101">
        <f t="shared" si="16"/>
        <v>187</v>
      </c>
      <c r="E239" s="130" t="s">
        <v>1138</v>
      </c>
      <c r="F239" s="24" t="e">
        <f>VLOOKUP(D239,'Character sheet'!$X$49:$AB$62,4,FALSE)</f>
        <v>#N/A</v>
      </c>
      <c r="G239" s="24" t="e">
        <f>CONCATENATE("Healing rate ",VLOOKUP(F239,HPs!$N$65:$P$80,2,FALSE),"x, can come back to life from a quater bodymass")</f>
        <v>#N/A</v>
      </c>
      <c r="H239" s="24" t="s">
        <v>854</v>
      </c>
    </row>
    <row r="240" spans="1:8" ht="12.75">
      <c r="A240" s="129">
        <v>13</v>
      </c>
      <c r="B240" s="101">
        <v>63</v>
      </c>
      <c r="C240" s="101">
        <f t="shared" si="19"/>
        <v>1263</v>
      </c>
      <c r="D240" s="101">
        <f t="shared" si="16"/>
        <v>188</v>
      </c>
      <c r="E240" s="130" t="s">
        <v>1139</v>
      </c>
      <c r="F240" s="24" t="e">
        <f>VLOOKUP(D240,'Character sheet'!$X$49:$AB$62,4,FALSE)</f>
        <v>#N/A</v>
      </c>
      <c r="G240" s="24" t="e">
        <f>CONCATENATE("Power rank ",VLOOKUP(F240,HPs!$N$65:$P$80,2,FALSE))</f>
        <v>#N/A</v>
      </c>
      <c r="H240" s="24" t="s">
        <v>855</v>
      </c>
    </row>
    <row r="241" spans="1:8" ht="12.75">
      <c r="A241" s="129">
        <v>13</v>
      </c>
      <c r="B241" s="101">
        <v>68</v>
      </c>
      <c r="C241" s="101">
        <f t="shared" si="19"/>
        <v>1268</v>
      </c>
      <c r="D241" s="101">
        <f t="shared" si="16"/>
        <v>189</v>
      </c>
      <c r="E241" s="130" t="s">
        <v>1140</v>
      </c>
      <c r="F241" s="24" t="e">
        <f>VLOOKUP(D241,'Character sheet'!$X$49:$AB$62,4,FALSE)</f>
        <v>#N/A</v>
      </c>
      <c r="G241" s="24" t="e">
        <f>CONCATENATE("Decreases detecting/tracking attempts by ",VLOOKUP(F241,HPs!$N$65:$P$80,2,FALSE))</f>
        <v>#N/A</v>
      </c>
      <c r="H241" s="24" t="s">
        <v>856</v>
      </c>
    </row>
    <row r="242" spans="1:8" ht="12.75">
      <c r="A242" s="129">
        <v>13</v>
      </c>
      <c r="B242" s="101">
        <v>72</v>
      </c>
      <c r="C242" s="101">
        <f t="shared" si="19"/>
        <v>1272</v>
      </c>
      <c r="D242" s="101">
        <f t="shared" si="16"/>
        <v>190</v>
      </c>
      <c r="E242" s="130" t="s">
        <v>1141</v>
      </c>
      <c r="F242" s="24" t="e">
        <f>VLOOKUP(D242,'Character sheet'!$X$49:$AB$62,4,FALSE)</f>
        <v>#N/A</v>
      </c>
      <c r="G242" s="24" t="e">
        <f>CONCATENATE("Maximum duration of suspended animation: ",VLOOKUP(F242,HPs!$N$65:$P$80,2,FALSE)," days")</f>
        <v>#N/A</v>
      </c>
      <c r="H242" s="24" t="s">
        <v>857</v>
      </c>
    </row>
    <row r="243" spans="1:8" ht="12.75">
      <c r="A243" s="129">
        <v>13</v>
      </c>
      <c r="B243" s="101">
        <v>77</v>
      </c>
      <c r="C243" s="101">
        <f t="shared" si="19"/>
        <v>1277</v>
      </c>
      <c r="D243" s="101">
        <f t="shared" si="16"/>
        <v>191</v>
      </c>
      <c r="E243" s="130" t="s">
        <v>1142</v>
      </c>
      <c r="F243" s="24" t="e">
        <f>VLOOKUP(D243,'Character sheet'!$X$49:$AB$62,4,FALSE)</f>
        <v>#N/A</v>
      </c>
      <c r="G243" s="24" t="e">
        <f>CONCATENATE("Resists ",VLOOKUP(F243,HPs!$N$65:$P$80,3,FALSE)," all except magical &amp; mental damage")</f>
        <v>#N/A</v>
      </c>
      <c r="H243" s="24" t="s">
        <v>858</v>
      </c>
    </row>
    <row r="244" spans="1:8" ht="12.75">
      <c r="A244" s="129">
        <v>13</v>
      </c>
      <c r="B244" s="101">
        <v>79</v>
      </c>
      <c r="C244" s="101">
        <f t="shared" si="19"/>
        <v>1279</v>
      </c>
      <c r="D244" s="101">
        <f t="shared" si="16"/>
        <v>192</v>
      </c>
      <c r="E244" s="130" t="s">
        <v>1143</v>
      </c>
      <c r="F244" s="24" t="e">
        <f>VLOOKUP(D244,'Character sheet'!$X$49:$AB$62,4,FALSE)</f>
        <v>#N/A</v>
      </c>
      <c r="G244" s="24" t="e">
        <f>CONCATENATE("Power rank ",VLOOKUP(F244,HPs!$N$65:$P$80,2,FALSE))</f>
        <v>#N/A</v>
      </c>
      <c r="H244" s="24" t="s">
        <v>553</v>
      </c>
    </row>
    <row r="245" spans="1:8" ht="12.75">
      <c r="A245" s="129">
        <v>13</v>
      </c>
      <c r="B245" s="101">
        <v>83</v>
      </c>
      <c r="C245" s="101">
        <f t="shared" si="19"/>
        <v>1283</v>
      </c>
      <c r="D245" s="101">
        <f t="shared" si="16"/>
        <v>193</v>
      </c>
      <c r="E245" s="130" t="s">
        <v>1144</v>
      </c>
      <c r="F245" s="24" t="e">
        <f>VLOOKUP(D245,'Character sheet'!$X$49:$AB$62,4,FALSE)</f>
        <v>#N/A</v>
      </c>
      <c r="G245" s="24" t="e">
        <f>CONCATENATE("Power rank ",VLOOKUP(F245,HPs!$N$65:$P$80,2,FALSE))</f>
        <v>#N/A</v>
      </c>
      <c r="H245" s="24" t="s">
        <v>554</v>
      </c>
    </row>
    <row r="246" spans="1:8" ht="12.75">
      <c r="A246" s="132">
        <v>13</v>
      </c>
      <c r="B246" s="105">
        <v>91</v>
      </c>
      <c r="C246" s="105">
        <f t="shared" si="19"/>
        <v>1291</v>
      </c>
      <c r="D246" s="105">
        <f t="shared" si="16"/>
        <v>194</v>
      </c>
      <c r="E246" s="133" t="s">
        <v>1145</v>
      </c>
      <c r="F246" s="24" t="e">
        <f>VLOOKUP(D246,'Character sheet'!$X$49:$AB$62,4,FALSE)</f>
        <v>#N/A</v>
      </c>
      <c r="G246" s="24" t="e">
        <f>CONCATENATE("Power rank ",VLOOKUP(F246,HPs!$N$65:$P$80,2,FALSE))</f>
        <v>#N/A</v>
      </c>
      <c r="H246" s="24" t="s">
        <v>556</v>
      </c>
    </row>
    <row r="247" spans="1:8" ht="12.75">
      <c r="A247" s="129">
        <v>14</v>
      </c>
      <c r="B247" s="101">
        <v>1</v>
      </c>
      <c r="C247" s="101">
        <f aca="true" t="shared" si="20" ref="C247:C260">B247+1300</f>
        <v>1301</v>
      </c>
      <c r="D247" s="101">
        <f aca="true" t="shared" si="21" ref="D247:D310">D246+1</f>
        <v>195</v>
      </c>
      <c r="E247" s="130" t="s">
        <v>1146</v>
      </c>
      <c r="F247" s="24" t="e">
        <f>VLOOKUP(D247,'Character sheet'!$X$49:$AB$62,4,FALSE)</f>
        <v>#N/A</v>
      </c>
      <c r="G247" s="24" t="e">
        <f>CONCATENATE("Range ",VLOOKUP(F247,HPs!$D$83:$I$98,2,FALSE),", duration ",VLOOKUP(F247,HPs!$N$65:$P$80,2,FALSE)," minutes, ",$V$13)</f>
        <v>#N/A</v>
      </c>
      <c r="H247" s="131" t="e">
        <f>V27</f>
        <v>#N/A</v>
      </c>
    </row>
    <row r="248" spans="1:8" ht="12.75">
      <c r="A248" s="129">
        <v>14</v>
      </c>
      <c r="B248" s="101">
        <v>9</v>
      </c>
      <c r="C248" s="101">
        <f t="shared" si="20"/>
        <v>1309</v>
      </c>
      <c r="D248" s="101">
        <f t="shared" si="21"/>
        <v>196</v>
      </c>
      <c r="E248" s="130" t="s">
        <v>1147</v>
      </c>
      <c r="F248" s="24" t="e">
        <f>VLOOKUP(D248,'Character sheet'!$X$49:$AB$62,4,FALSE)</f>
        <v>#N/A</v>
      </c>
      <c r="G248" s="127" t="e">
        <f>CONCATENATE("May create ",VLOOKUP(F248,HPs!$N$65:$P$80,2,FALSE)," powers, initially at rank -3CS")</f>
        <v>#N/A</v>
      </c>
      <c r="H248" s="24" t="s">
        <v>864</v>
      </c>
    </row>
    <row r="249" spans="1:8" ht="12.75">
      <c r="A249" s="129">
        <v>14</v>
      </c>
      <c r="B249" s="101">
        <v>13</v>
      </c>
      <c r="C249" s="101">
        <f t="shared" si="20"/>
        <v>1313</v>
      </c>
      <c r="D249" s="101">
        <f t="shared" si="21"/>
        <v>197</v>
      </c>
      <c r="E249" s="130" t="s">
        <v>1148</v>
      </c>
      <c r="F249" s="24" t="e">
        <f>VLOOKUP(D249,'Character sheet'!$X$49:$AB$62,4,FALSE)</f>
        <v>#N/A</v>
      </c>
      <c r="G249" s="24" t="e">
        <f>CONCATENATE("Range ",VLOOKUP(F249,HPs!$D$83:$I$98,2,FALSE),", rank ",VLOOKUP(F249,HPs!$N$65:$P$80,2,FALSE),", superpowerless beings not affected")</f>
        <v>#N/A</v>
      </c>
      <c r="H249" s="24" t="s">
        <v>663</v>
      </c>
    </row>
    <row r="250" spans="1:8" ht="12.75">
      <c r="A250" s="129">
        <v>14</v>
      </c>
      <c r="B250" s="101">
        <v>19</v>
      </c>
      <c r="C250" s="101">
        <f t="shared" si="20"/>
        <v>1319</v>
      </c>
      <c r="D250" s="101">
        <f t="shared" si="21"/>
        <v>198</v>
      </c>
      <c r="E250" s="130" t="s">
        <v>1149</v>
      </c>
      <c r="F250" s="24" t="e">
        <f>VLOOKUP(D250,'Character sheet'!$X$49:$AB$62,4,FALSE)</f>
        <v>#N/A</v>
      </c>
      <c r="G250" s="127" t="e">
        <f>CONCATENATE("May duplicate ",VLOOKUP(F250,HPs!$N$65:$P$80,2,FALSE)," powers, switching takes three turns")</f>
        <v>#N/A</v>
      </c>
      <c r="H250" s="24" t="s">
        <v>862</v>
      </c>
    </row>
    <row r="251" spans="1:8" ht="12.75">
      <c r="A251" s="129">
        <v>14</v>
      </c>
      <c r="B251" s="101">
        <v>24</v>
      </c>
      <c r="C251" s="101">
        <f t="shared" si="20"/>
        <v>1324</v>
      </c>
      <c r="D251" s="101">
        <f t="shared" si="21"/>
        <v>199</v>
      </c>
      <c r="E251" s="130" t="s">
        <v>1059</v>
      </c>
      <c r="F251" s="24" t="e">
        <f>VLOOKUP(D251,'Character sheet'!$X$49:$AB$62,4,FALSE)</f>
        <v>#N/A</v>
      </c>
      <c r="G251" s="24" t="e">
        <f>CONCATENATE("Range ",VLOOKUP(F251,HPs!$D$83:$I$98,2,FALSE),", power storage if source lost: ",'Character sheet'!D17)</f>
        <v>#N/A</v>
      </c>
      <c r="H251" s="24" t="s">
        <v>633</v>
      </c>
    </row>
    <row r="252" spans="1:8" ht="12.75">
      <c r="A252" s="129">
        <v>14</v>
      </c>
      <c r="B252" s="101">
        <v>38</v>
      </c>
      <c r="C252" s="101">
        <f t="shared" si="20"/>
        <v>1338</v>
      </c>
      <c r="D252" s="101">
        <f t="shared" si="21"/>
        <v>200</v>
      </c>
      <c r="E252" s="130" t="s">
        <v>1151</v>
      </c>
      <c r="F252" s="24" t="e">
        <f>VLOOKUP(D252,'Character sheet'!$X$49:$AB$62,4,FALSE)</f>
        <v>#N/A</v>
      </c>
      <c r="G252" s="24" t="e">
        <f>CONCATENATE("Rank value in contact ",VLOOKUP(F252,HPs!$N$65:$P$80,3,FALSE),", rank decreases every 10'")</f>
        <v>#N/A</v>
      </c>
      <c r="H252" s="24" t="s">
        <v>863</v>
      </c>
    </row>
    <row r="253" spans="1:12" ht="12.75">
      <c r="A253" s="129">
        <v>14</v>
      </c>
      <c r="B253" s="101">
        <v>40</v>
      </c>
      <c r="C253" s="101">
        <f t="shared" si="20"/>
        <v>1340</v>
      </c>
      <c r="D253" s="101">
        <f t="shared" si="21"/>
        <v>201</v>
      </c>
      <c r="E253" s="130" t="s">
        <v>1152</v>
      </c>
      <c r="F253" s="24" t="e">
        <f>VLOOKUP(D253,'Character sheet'!$X$49:$AB$62,4,FALSE)</f>
        <v>#N/A</v>
      </c>
      <c r="G253" s="24" t="e">
        <f>CONCATENATE("Rank value ",L253,", FASERIP+powers drop to 1, each attr. regain ",ROUND(VLOOKUP(F253,HPs!$N$65:$P$80,2,FALSE)/K253,0)," per turn")</f>
        <v>#N/A</v>
      </c>
      <c r="H253" s="24" t="s">
        <v>865</v>
      </c>
      <c r="K253" s="24">
        <f>COUNT('Character sheet'!D11:D17,'Character sheet'!E25:E38)</f>
        <v>0</v>
      </c>
      <c r="L253" s="24" t="e">
        <f>SUM('Character sheet'!$D$11:$D$17,'Character sheet'!$E$25:$E$38)</f>
        <v>#N/A</v>
      </c>
    </row>
    <row r="254" spans="1:8" ht="12.75">
      <c r="A254" s="129">
        <v>14</v>
      </c>
      <c r="B254" s="101">
        <v>50</v>
      </c>
      <c r="C254" s="101">
        <f t="shared" si="20"/>
        <v>1350</v>
      </c>
      <c r="D254" s="101">
        <f t="shared" si="21"/>
        <v>202</v>
      </c>
      <c r="E254" s="130" t="s">
        <v>1153</v>
      </c>
      <c r="F254" s="24" t="e">
        <f>VLOOKUP(D254,'Character sheet'!$X$49:$AB$62,4,FALSE)</f>
        <v>#N/A</v>
      </c>
      <c r="G254" s="24" t="e">
        <f>CONCATENATE("Combi-power with another character: ",VLOOKUP('Character sheet'!$Q$40,Powers!$D$53:$E$315,2,FALSE))</f>
        <v>#N/A</v>
      </c>
      <c r="H254" s="24" t="s">
        <v>866</v>
      </c>
    </row>
    <row r="255" spans="1:8" ht="12.75">
      <c r="A255" s="129">
        <v>14</v>
      </c>
      <c r="B255" s="101">
        <v>56</v>
      </c>
      <c r="C255" s="101">
        <f t="shared" si="20"/>
        <v>1356</v>
      </c>
      <c r="D255" s="101">
        <f t="shared" si="21"/>
        <v>203</v>
      </c>
      <c r="E255" s="130" t="s">
        <v>1154</v>
      </c>
      <c r="F255" s="24" t="e">
        <f>VLOOKUP(D255,'Character sheet'!$X$49:$AB$62,4,FALSE)</f>
        <v>#N/A</v>
      </c>
      <c r="G255" s="24" t="s">
        <v>867</v>
      </c>
      <c r="H255" s="24" t="s">
        <v>868</v>
      </c>
    </row>
    <row r="256" spans="1:8" ht="12.75">
      <c r="A256" s="129">
        <v>14</v>
      </c>
      <c r="B256" s="101">
        <v>61</v>
      </c>
      <c r="C256" s="101">
        <f t="shared" si="20"/>
        <v>1361</v>
      </c>
      <c r="D256" s="101">
        <f t="shared" si="21"/>
        <v>204</v>
      </c>
      <c r="E256" s="130" t="s">
        <v>1155</v>
      </c>
      <c r="F256" s="24" t="e">
        <f>VLOOKUP(D256,'Character sheet'!$X$49:$AB$62,4,FALSE)</f>
        <v>#N/A</v>
      </c>
      <c r="G256" s="24" t="e">
        <f>CONCATENATE("Rank ",VLOOKUP(F256,HPs!$N$65:$P$80,3,FALSE),", transferred power decreases every 10'")</f>
        <v>#N/A</v>
      </c>
      <c r="H256" s="24" t="e">
        <f>CONCATENATE("Power-FEAT determines duration: green  = ",'Character sheet'!$D$15*100," turns, yellow = ",'Character sheet'!$D$15*10000," turns, red = permanent")</f>
        <v>#N/A</v>
      </c>
    </row>
    <row r="257" spans="1:8" ht="12.75">
      <c r="A257" s="129">
        <v>14</v>
      </c>
      <c r="B257" s="101">
        <v>65</v>
      </c>
      <c r="C257" s="101">
        <f t="shared" si="20"/>
        <v>1365</v>
      </c>
      <c r="D257" s="101">
        <f t="shared" si="21"/>
        <v>205</v>
      </c>
      <c r="E257" s="130" t="s">
        <v>1156</v>
      </c>
      <c r="F257" s="24" t="e">
        <f>VLOOKUP(D257,'Character sheet'!$X$49:$AB$62,4,FALSE)</f>
        <v>#N/A</v>
      </c>
      <c r="G257" s="24" t="e">
        <f>CONCATENATE("Power ",VLOOKUP(F257,HPs!$N$65:$O$80,2,FALSE),", range ",VLOOKUP(F257,HPs!$D$83:$I$98,2,FALSE),", Str, End, Psy and powers drop 1pt/hour")</f>
        <v>#N/A</v>
      </c>
      <c r="H257" s="24" t="s">
        <v>558</v>
      </c>
    </row>
    <row r="258" spans="1:8" ht="12.75">
      <c r="A258" s="129">
        <v>14</v>
      </c>
      <c r="B258" s="101">
        <v>74</v>
      </c>
      <c r="C258" s="101">
        <f t="shared" si="20"/>
        <v>1374</v>
      </c>
      <c r="D258" s="101">
        <f t="shared" si="21"/>
        <v>206</v>
      </c>
      <c r="E258" s="130" t="s">
        <v>1157</v>
      </c>
      <c r="F258" s="24" t="e">
        <f>VLOOKUP(D258,'Character sheet'!$X$49:$AB$62,4,FALSE)</f>
        <v>#N/A</v>
      </c>
      <c r="G258" s="127" t="e">
        <f>CONCATENATE("May duplicate power from traces of use; power ranks are ",VLOOKUP(F258,HPs!$N$65:$P$80,2,FALSE))</f>
        <v>#N/A</v>
      </c>
      <c r="H258" s="24" t="e">
        <f>CONCATENATE("Power-FEAT determines duration: green  = ",'Character sheet'!$D$15*100," turns, yellow = ",'Character sheet'!$D$15*10000," turns, red = permanent")</f>
        <v>#N/A</v>
      </c>
    </row>
    <row r="259" spans="1:8" ht="12.75">
      <c r="A259" s="129">
        <v>14</v>
      </c>
      <c r="B259" s="101">
        <v>84</v>
      </c>
      <c r="C259" s="101">
        <f t="shared" si="20"/>
        <v>1384</v>
      </c>
      <c r="D259" s="101">
        <f t="shared" si="21"/>
        <v>207</v>
      </c>
      <c r="E259" s="130" t="s">
        <v>1158</v>
      </c>
      <c r="F259" s="24" t="e">
        <f>VLOOKUP(D259,'Character sheet'!$X$49:$AB$62,4,FALSE)</f>
        <v>#N/A</v>
      </c>
      <c r="G259" s="24" t="e">
        <f>CONCATENATE("Power rank ",VLOOKUP(F259,HPs!$N$65:$P$80,3,FALSE),", switching powers takes three turns")</f>
        <v>#N/A</v>
      </c>
      <c r="H259" s="24" t="s">
        <v>869</v>
      </c>
    </row>
    <row r="260" spans="1:8" ht="12.75">
      <c r="A260" s="132">
        <v>14</v>
      </c>
      <c r="B260" s="105">
        <v>97</v>
      </c>
      <c r="C260" s="105">
        <f t="shared" si="20"/>
        <v>1397</v>
      </c>
      <c r="D260" s="105">
        <f t="shared" si="21"/>
        <v>208</v>
      </c>
      <c r="E260" s="133" t="s">
        <v>1159</v>
      </c>
      <c r="F260" s="24" t="e">
        <f>VLOOKUP(D260,'Character sheet'!$X$49:$AB$62,4,FALSE)</f>
        <v>#N/A</v>
      </c>
      <c r="G260" s="24" t="s">
        <v>870</v>
      </c>
      <c r="H260" s="24" t="e">
        <f>CONCATENATE("Reason-FEAT determines duration: green  = ",'Character sheet'!$D$15*10," turns, yellow = ",'Character sheet'!$D$15*1000," turns, red = ",'Character sheet'!$D$15*10000," turns.")</f>
        <v>#N/A</v>
      </c>
    </row>
    <row r="261" spans="1:8" ht="12.75">
      <c r="A261" s="129">
        <v>15</v>
      </c>
      <c r="B261" s="101">
        <v>1</v>
      </c>
      <c r="C261" s="101">
        <f>B261+1400</f>
        <v>1401</v>
      </c>
      <c r="D261" s="101">
        <f t="shared" si="21"/>
        <v>209</v>
      </c>
      <c r="E261" s="130" t="s">
        <v>1160</v>
      </c>
      <c r="F261" s="24" t="e">
        <f>VLOOKUP(D261,'Character sheet'!$X$49:$AB$62,4,FALSE)</f>
        <v>#N/A</v>
      </c>
      <c r="G261" s="24" t="e">
        <f>CONCATENATE("Age-shift ",VLOOKUP(F261,HPs!$N$65:$P$80,2,FALSE)," years")</f>
        <v>#N/A</v>
      </c>
      <c r="H261" s="24" t="s">
        <v>634</v>
      </c>
    </row>
    <row r="262" spans="1:8" ht="12.75">
      <c r="A262" s="129">
        <v>15</v>
      </c>
      <c r="B262" s="101">
        <v>3</v>
      </c>
      <c r="C262" s="101">
        <f aca="true" t="shared" si="22" ref="C262:C292">B262+1400</f>
        <v>1403</v>
      </c>
      <c r="D262" s="101">
        <f t="shared" si="21"/>
        <v>210</v>
      </c>
      <c r="E262" s="130" t="s">
        <v>1161</v>
      </c>
      <c r="F262" s="24" t="e">
        <f>VLOOKUP(D262,'Character sheet'!$X$49:$AB$62,4,FALSE)</f>
        <v>#N/A</v>
      </c>
      <c r="G262" s="24" t="s">
        <v>635</v>
      </c>
      <c r="H262" s="24" t="s">
        <v>636</v>
      </c>
    </row>
    <row r="263" spans="1:8" ht="12.75">
      <c r="A263" s="129">
        <v>15</v>
      </c>
      <c r="B263" s="101">
        <v>10</v>
      </c>
      <c r="C263" s="101">
        <f t="shared" si="22"/>
        <v>1410</v>
      </c>
      <c r="D263" s="101">
        <f t="shared" si="21"/>
        <v>211</v>
      </c>
      <c r="E263" s="130" t="s">
        <v>1162</v>
      </c>
      <c r="F263" s="24" t="e">
        <f>VLOOKUP(D263,'Character sheet'!$X$49:$AB$62,4,FALSE)</f>
        <v>#N/A</v>
      </c>
      <c r="G263" s="24" t="e">
        <f>CONCATENATE("Detachment range ",VLOOKUP(F263,HPs!$D$83:$R$98,14,FALSE),", duration ",VLOOKUP(F263,HPs!$D$83:$R$98,15,FALSE),", movement ",VLOOKUP(F263,HPs!$D$83:$R$98,11,FALSE)," / turn")</f>
        <v>#N/A</v>
      </c>
      <c r="H263" s="131" t="s">
        <v>268</v>
      </c>
    </row>
    <row r="264" spans="1:8" ht="12.75">
      <c r="A264" s="129">
        <v>15</v>
      </c>
      <c r="B264" s="101">
        <v>11</v>
      </c>
      <c r="C264" s="101">
        <f t="shared" si="22"/>
        <v>1411</v>
      </c>
      <c r="D264" s="101">
        <f t="shared" si="21"/>
        <v>212</v>
      </c>
      <c r="E264" s="130" t="s">
        <v>1163</v>
      </c>
      <c r="F264" s="24" t="e">
        <f>VLOOKUP(D264,'Character sheet'!$X$49:$AB$62,4,FALSE)</f>
        <v>#N/A</v>
      </c>
      <c r="G264" s="24" t="e">
        <f>CONCATENATE("Power rank ",VLOOKUP(F264,HPs!$N$65:$P$80,2,FALSE))</f>
        <v>#N/A</v>
      </c>
      <c r="H264" s="24" t="s">
        <v>269</v>
      </c>
    </row>
    <row r="265" spans="1:8" ht="12.75">
      <c r="A265" s="129">
        <v>15</v>
      </c>
      <c r="B265" s="101">
        <v>14</v>
      </c>
      <c r="C265" s="101">
        <f t="shared" si="22"/>
        <v>1414</v>
      </c>
      <c r="D265" s="101">
        <f t="shared" si="21"/>
        <v>213</v>
      </c>
      <c r="E265" s="130" t="s">
        <v>1164</v>
      </c>
      <c r="F265" s="24" t="e">
        <f>VLOOKUP(D265,'Character sheet'!$X$49:$AB$62,4,FALSE)</f>
        <v>#N/A</v>
      </c>
      <c r="G265" s="24" t="e">
        <f>CONCATENATE("Power rank ",VLOOKUP(F265,HPs!$N$65:$P$80,2,FALSE),", max. duration ",'Character sheet'!$D$17," minutes")</f>
        <v>#N/A</v>
      </c>
      <c r="H265" s="24" t="s">
        <v>658</v>
      </c>
    </row>
    <row r="266" spans="1:8" ht="12.75">
      <c r="A266" s="129">
        <v>15</v>
      </c>
      <c r="B266" s="101">
        <v>20</v>
      </c>
      <c r="C266" s="101">
        <f t="shared" si="22"/>
        <v>1420</v>
      </c>
      <c r="D266" s="101">
        <f t="shared" si="21"/>
        <v>214</v>
      </c>
      <c r="E266" s="130" t="s">
        <v>1165</v>
      </c>
      <c r="F266" s="24" t="e">
        <f>VLOOKUP(D266,'Character sheet'!$X$49:$AB$62,4,FALSE)</f>
        <v>#N/A</v>
      </c>
      <c r="G266" s="24" t="e">
        <f>CONCATENATE("Power rank ",VLOOKUP(F266,HPs!$N$65:$P$80,2,FALSE),", may be automatic or voluntary")</f>
        <v>#N/A</v>
      </c>
      <c r="H266" s="24" t="s">
        <v>659</v>
      </c>
    </row>
    <row r="267" spans="1:8" ht="12.75">
      <c r="A267" s="129">
        <v>15</v>
      </c>
      <c r="B267" s="101">
        <v>21</v>
      </c>
      <c r="C267" s="101">
        <f t="shared" si="22"/>
        <v>1421</v>
      </c>
      <c r="D267" s="101">
        <f t="shared" si="21"/>
        <v>215</v>
      </c>
      <c r="E267" s="130" t="s">
        <v>1166</v>
      </c>
      <c r="F267" s="24" t="e">
        <f>VLOOKUP(D267,'Character sheet'!$X$49:$AB$62,4,FALSE)</f>
        <v>#N/A</v>
      </c>
      <c r="G267" s="24" t="e">
        <f>CONCATENATE("Power rank ",VLOOKUP(F267,HPs!$N$65:$P$80,2,FALSE),", at shift-x level, hero controls the manner of adaptation")</f>
        <v>#N/A</v>
      </c>
      <c r="H267" s="24" t="s">
        <v>660</v>
      </c>
    </row>
    <row r="268" spans="1:8" ht="12.75">
      <c r="A268" s="129">
        <v>15</v>
      </c>
      <c r="B268" s="101">
        <v>28</v>
      </c>
      <c r="C268" s="101">
        <f t="shared" si="22"/>
        <v>1428</v>
      </c>
      <c r="D268" s="101">
        <f t="shared" si="21"/>
        <v>216</v>
      </c>
      <c r="E268" s="130" t="s">
        <v>1167</v>
      </c>
      <c r="F268" s="24" t="e">
        <f>VLOOKUP(D268,'Character sheet'!$X$49:$AB$62,4,FALSE)</f>
        <v>#N/A</v>
      </c>
      <c r="G268" s="24" t="e">
        <f>CONCATENATE("Power rank ",VLOOKUP(F268,HPs!$N$65:$P$80,2,FALSE),", hero is immobile at Feeble and Poor rank")</f>
        <v>#N/A</v>
      </c>
      <c r="H268" s="24" t="s">
        <v>661</v>
      </c>
    </row>
    <row r="269" spans="1:8" ht="12.75">
      <c r="A269" s="129">
        <v>15</v>
      </c>
      <c r="B269" s="101">
        <v>31</v>
      </c>
      <c r="C269" s="101">
        <f t="shared" si="22"/>
        <v>1431</v>
      </c>
      <c r="D269" s="101">
        <f t="shared" si="21"/>
        <v>217</v>
      </c>
      <c r="E269" s="130" t="s">
        <v>1168</v>
      </c>
      <c r="F269" s="24" t="e">
        <f>VLOOKUP(D269,'Character sheet'!$X$49:$AB$62,4,FALSE)</f>
        <v>#N/A</v>
      </c>
      <c r="G269" s="24" t="e">
        <f>CONCATENATE("Decreases ",VLOOKUP(F269,HPs!$N$65:$P$80,2,FALSE)," damage, duration ",VLOOKUP(F269,HPs!$N$65:$P$80,2,FALSE)," hours?")</f>
        <v>#N/A</v>
      </c>
      <c r="H269" s="24" t="s">
        <v>582</v>
      </c>
    </row>
    <row r="270" spans="1:8" ht="12.75">
      <c r="A270" s="129">
        <v>15</v>
      </c>
      <c r="B270" s="101">
        <v>34</v>
      </c>
      <c r="C270" s="101">
        <f t="shared" si="22"/>
        <v>1434</v>
      </c>
      <c r="D270" s="101">
        <f t="shared" si="21"/>
        <v>218</v>
      </c>
      <c r="E270" s="130" t="s">
        <v>1169</v>
      </c>
      <c r="F270" s="24" t="e">
        <f>VLOOKUP(D270,'Character sheet'!$X$49:$AB$62,4,FALSE)</f>
        <v>#N/A</v>
      </c>
      <c r="G270" s="24" t="e">
        <f>CONCATENATE("When inflated, may travel ",VLOOKUP(F270,HPs!$D$83:$N$98,11,FALSE)," / turn, fighting +",VLOOKUP(F270,HPs!$N$65:$P$80,2,FALSE),", duration ",VLOOKUP(F270,HPs!$N$65:$P$80,2,FALSE)," turns")</f>
        <v>#N/A</v>
      </c>
      <c r="H270" s="24" t="s">
        <v>586</v>
      </c>
    </row>
    <row r="271" spans="1:8" ht="12.75">
      <c r="A271" s="129">
        <v>15</v>
      </c>
      <c r="B271" s="101">
        <v>38</v>
      </c>
      <c r="C271" s="101">
        <f t="shared" si="22"/>
        <v>1438</v>
      </c>
      <c r="D271" s="101">
        <f t="shared" si="21"/>
        <v>219</v>
      </c>
      <c r="E271" s="130" t="s">
        <v>1170</v>
      </c>
      <c r="F271" s="24" t="e">
        <f>VLOOKUP(D271,'Character sheet'!$X$49:$AB$62,4,FALSE)</f>
        <v>#N/A</v>
      </c>
      <c r="G271" s="24" t="e">
        <f>CONCATENATE("Power rank ",VLOOKUP(F271,HPs!$N$65:$P$80,2,FALSE))</f>
        <v>#N/A</v>
      </c>
      <c r="H271" s="24" t="s">
        <v>583</v>
      </c>
    </row>
    <row r="272" spans="1:8" ht="12.75">
      <c r="A272" s="129">
        <v>15</v>
      </c>
      <c r="B272" s="101">
        <v>39</v>
      </c>
      <c r="C272" s="101">
        <f t="shared" si="22"/>
        <v>1439</v>
      </c>
      <c r="D272" s="101">
        <f t="shared" si="21"/>
        <v>220</v>
      </c>
      <c r="E272" s="130" t="s">
        <v>1171</v>
      </c>
      <c r="F272" s="24" t="e">
        <f>VLOOKUP(D272,'Character sheet'!$X$49:$AB$62,4,FALSE)</f>
        <v>#N/A</v>
      </c>
      <c r="G272" s="24" t="e">
        <f>CONCATENATE("Max. total elongation ",VLOOKUP(F272,HPs!$N$65:$P$80,2,FALSE)," yards, max. duration ",VLOOKUP(F272,HPs!$N$65:$P$80,2,FALSE)," turns")</f>
        <v>#N/A</v>
      </c>
      <c r="H272" s="24" t="s">
        <v>592</v>
      </c>
    </row>
    <row r="273" spans="1:8" ht="12.75">
      <c r="A273" s="129">
        <v>15</v>
      </c>
      <c r="B273" s="101">
        <v>43</v>
      </c>
      <c r="C273" s="101">
        <f t="shared" si="22"/>
        <v>1443</v>
      </c>
      <c r="D273" s="101">
        <f t="shared" si="21"/>
        <v>221</v>
      </c>
      <c r="E273" s="130" t="s">
        <v>1172</v>
      </c>
      <c r="F273" s="24" t="e">
        <f>VLOOKUP(D273,'Character sheet'!$X$49:$AB$62,4,FALSE)</f>
        <v>#N/A</v>
      </c>
      <c r="G273" s="24" t="e">
        <f>CONCATENATE("Power rank ",VLOOKUP(F273,HPs!$N$65:$P$80,2,FALSE))</f>
        <v>#N/A</v>
      </c>
      <c r="H273" s="24" t="s">
        <v>585</v>
      </c>
    </row>
    <row r="274" spans="1:8" ht="12.75">
      <c r="A274" s="129">
        <v>15</v>
      </c>
      <c r="B274" s="101">
        <v>45</v>
      </c>
      <c r="C274" s="101">
        <f t="shared" si="22"/>
        <v>1445</v>
      </c>
      <c r="D274" s="101">
        <f t="shared" si="21"/>
        <v>222</v>
      </c>
      <c r="E274" s="130" t="s">
        <v>1173</v>
      </c>
      <c r="F274" s="24" t="e">
        <f>VLOOKUP(D274,'Character sheet'!$X$49:$AB$62,4,FALSE)</f>
        <v>#N/A</v>
      </c>
      <c r="G274" s="24" t="e">
        <f>CONCATENATE("Power rank ",VLOOKUP(F274,HPs!$N$65:$P$80,2,FALSE),", +2CS resistance to energy the sheat is made of")</f>
        <v>#N/A</v>
      </c>
      <c r="H274" s="24" t="s">
        <v>265</v>
      </c>
    </row>
    <row r="275" spans="1:8" ht="12.75">
      <c r="A275" s="129">
        <v>15</v>
      </c>
      <c r="B275" s="101">
        <v>50</v>
      </c>
      <c r="C275" s="101">
        <f t="shared" si="22"/>
        <v>1450</v>
      </c>
      <c r="D275" s="101">
        <f t="shared" si="21"/>
        <v>223</v>
      </c>
      <c r="E275" s="130" t="s">
        <v>1174</v>
      </c>
      <c r="F275" s="24" t="e">
        <f>VLOOKUP(D275,'Character sheet'!$X$49:$AB$62,4,FALSE)</f>
        <v>#N/A</v>
      </c>
      <c r="G275" s="24" t="e">
        <f>CONCATENATE("Duration ",VLOOKUP(F275,HPs!$N$65:$P$80,2,FALSE)," rounds, caveman FASE +",ROUND(('Character sheet'!G11-3)/4,0),", big brain RIP +",ROUND(('Character sheet'!F11-4)/3,0))</f>
        <v>#N/A</v>
      </c>
      <c r="H275" s="24" t="s">
        <v>266</v>
      </c>
    </row>
    <row r="276" spans="1:8" ht="12.75">
      <c r="A276" s="129">
        <v>15</v>
      </c>
      <c r="B276" s="101">
        <v>56</v>
      </c>
      <c r="C276" s="101">
        <f t="shared" si="22"/>
        <v>1456</v>
      </c>
      <c r="D276" s="101">
        <f t="shared" si="21"/>
        <v>224</v>
      </c>
      <c r="E276" s="130" t="s">
        <v>1175</v>
      </c>
      <c r="F276" s="24" t="e">
        <f>VLOOKUP(D276,'Character sheet'!$X$49:$AB$62,4,FALSE)</f>
        <v>#N/A</v>
      </c>
      <c r="G276" s="24" t="e">
        <f>CONCATENATE("Resultant size ",VLOOKUP(F276,HPs!$D$83:$M$398,10,FALSE),", ",VLOOKUP(F276,HPs!$D$83:$S$98,16,FALSE)," to-hit against hero")</f>
        <v>#N/A</v>
      </c>
      <c r="H276" s="131" t="e">
        <f>$AB$27</f>
        <v>#N/A</v>
      </c>
    </row>
    <row r="277" spans="1:8" ht="12.75">
      <c r="A277" s="129">
        <v>15</v>
      </c>
      <c r="B277" s="101">
        <v>58</v>
      </c>
      <c r="C277" s="101">
        <f t="shared" si="22"/>
        <v>1458</v>
      </c>
      <c r="D277" s="101">
        <f t="shared" si="21"/>
        <v>225</v>
      </c>
      <c r="E277" s="130" t="s">
        <v>517</v>
      </c>
      <c r="F277" s="24" t="e">
        <f>VLOOKUP(D277,'Character sheet'!$X$49:$AB$62,4,FALSE)</f>
        <v>#N/A</v>
      </c>
      <c r="G277" s="24" t="e">
        <f>CONCATENATE("Power rank ",VLOOKUP(F277,HPs!$N$65:$P$80,2,FALSE))</f>
        <v>#N/A</v>
      </c>
      <c r="H277" s="24" t="s">
        <v>267</v>
      </c>
    </row>
    <row r="278" spans="1:8" ht="12.75">
      <c r="A278" s="129">
        <v>15</v>
      </c>
      <c r="B278" s="101">
        <v>59</v>
      </c>
      <c r="C278" s="101">
        <f t="shared" si="22"/>
        <v>1459</v>
      </c>
      <c r="D278" s="101">
        <f t="shared" si="21"/>
        <v>226</v>
      </c>
      <c r="E278" s="130" t="s">
        <v>516</v>
      </c>
      <c r="F278" s="24" t="e">
        <f>VLOOKUP(D278,'Character sheet'!$X$49:$AB$62,4,FALSE)</f>
        <v>#N/A</v>
      </c>
      <c r="G278" s="24" t="e">
        <f>CONCATENATE("Power rank ",VLOOKUP(F278,HPs!$N$65:$P$80,2,FALSE))</f>
        <v>#N/A</v>
      </c>
      <c r="H278" s="24" t="s">
        <v>270</v>
      </c>
    </row>
    <row r="279" spans="1:8" ht="12.75">
      <c r="A279" s="129">
        <v>15</v>
      </c>
      <c r="B279" s="101">
        <v>61</v>
      </c>
      <c r="C279" s="101">
        <f t="shared" si="22"/>
        <v>1461</v>
      </c>
      <c r="D279" s="101">
        <f t="shared" si="21"/>
        <v>227</v>
      </c>
      <c r="E279" s="130" t="s">
        <v>1176</v>
      </c>
      <c r="F279" s="24" t="e">
        <f>VLOOKUP(D279,'Character sheet'!$X$49:$AB$62,4,FALSE)</f>
        <v>#N/A</v>
      </c>
      <c r="G279" s="24" t="e">
        <f>CONCATENATE("Power rank ",VLOOKUP(F279,HPs!$N$65:$P$80,2,FALSE))</f>
        <v>#N/A</v>
      </c>
      <c r="H279" s="24" t="s">
        <v>271</v>
      </c>
    </row>
    <row r="280" spans="1:8" ht="12.75">
      <c r="A280" s="129">
        <v>15</v>
      </c>
      <c r="B280" s="101">
        <v>62</v>
      </c>
      <c r="C280" s="101">
        <f t="shared" si="22"/>
        <v>1462</v>
      </c>
      <c r="D280" s="101">
        <f t="shared" si="21"/>
        <v>228</v>
      </c>
      <c r="E280" s="130" t="s">
        <v>1178</v>
      </c>
      <c r="F280" s="24" t="e">
        <f>VLOOKUP(D280,'Character sheet'!$X$49:$AB$62,4,FALSE)</f>
        <v>#N/A</v>
      </c>
      <c r="G280" s="24" t="e">
        <f>CONCATENATE("Reduces body mass by ",VLOOKUP(F280,HPs!$N$65:$P$80,2,FALSE)," percent. Resulting weight is ",ROUND((100-VLOOKUP(F280,HPs!$N$65:$P$80,2,FALSE))*'Character sheet'!$R$5/100,0)," lbs")</f>
        <v>#N/A</v>
      </c>
      <c r="H280" s="24" t="s">
        <v>272</v>
      </c>
    </row>
    <row r="281" spans="1:8" ht="12.75">
      <c r="A281" s="129">
        <v>15</v>
      </c>
      <c r="B281" s="101">
        <v>63</v>
      </c>
      <c r="C281" s="101">
        <f t="shared" si="22"/>
        <v>1463</v>
      </c>
      <c r="D281" s="101">
        <f t="shared" si="21"/>
        <v>229</v>
      </c>
      <c r="E281" s="130" t="s">
        <v>1177</v>
      </c>
      <c r="F281" s="24" t="e">
        <f>VLOOKUP(D281,'Character sheet'!$X$49:$AB$62,4,FALSE)</f>
        <v>#N/A</v>
      </c>
      <c r="G281" s="24" t="e">
        <f>CONCATENATE("Multiplies body mass by ",VLOOKUP(F281,HPs!$N$65:$P$80,2,FALSE),". Resulting weight is ",VLOOKUP(F281,HPs!$N$65:$P$80,2,FALSE)*'Character sheet'!$R$5," lbs")</f>
        <v>#N/A</v>
      </c>
      <c r="H281" s="24" t="s">
        <v>273</v>
      </c>
    </row>
    <row r="282" spans="1:8" ht="12.75">
      <c r="A282" s="129">
        <v>15</v>
      </c>
      <c r="B282" s="101">
        <v>64</v>
      </c>
      <c r="C282" s="101">
        <f t="shared" si="22"/>
        <v>1464</v>
      </c>
      <c r="D282" s="101">
        <f t="shared" si="21"/>
        <v>230</v>
      </c>
      <c r="E282" s="130" t="s">
        <v>1179</v>
      </c>
      <c r="F282" s="24" t="e">
        <f>VLOOKUP(D282,'Character sheet'!$X$49:$AB$62,4,FALSE)</f>
        <v>#N/A</v>
      </c>
      <c r="G282" s="24" t="e">
        <f>CONCATENATE("Phase through ",F282," material strength objects with green FEAT")</f>
        <v>#N/A</v>
      </c>
      <c r="H282" s="24" t="s">
        <v>274</v>
      </c>
    </row>
    <row r="283" spans="1:8" ht="12.75">
      <c r="A283" s="129">
        <v>15</v>
      </c>
      <c r="B283" s="101">
        <v>68</v>
      </c>
      <c r="C283" s="101">
        <f t="shared" si="22"/>
        <v>1468</v>
      </c>
      <c r="D283" s="101">
        <f t="shared" si="21"/>
        <v>231</v>
      </c>
      <c r="E283" s="130" t="s">
        <v>1180</v>
      </c>
      <c r="F283" s="24" t="e">
        <f>VLOOKUP(D283,'Character sheet'!$X$49:$AB$62,4,FALSE)</f>
        <v>#N/A</v>
      </c>
      <c r="G283" s="24" t="e">
        <f>CONCATENATE("Maximum duration of the physical gestalt is ",'Character sheet'!$D$17," minutes")</f>
        <v>#N/A</v>
      </c>
      <c r="H283" s="24" t="s">
        <v>275</v>
      </c>
    </row>
    <row r="284" spans="1:8" ht="12.75">
      <c r="A284" s="129">
        <v>15</v>
      </c>
      <c r="B284" s="101">
        <v>71</v>
      </c>
      <c r="C284" s="101">
        <f t="shared" si="22"/>
        <v>1471</v>
      </c>
      <c r="D284" s="101">
        <f t="shared" si="21"/>
        <v>232</v>
      </c>
      <c r="E284" s="130" t="s">
        <v>1181</v>
      </c>
      <c r="F284" s="24" t="e">
        <f>VLOOKUP(D284,'Character sheet'!$X$49:$AB$62,4,FALSE)</f>
        <v>#N/A</v>
      </c>
      <c r="G284" s="24" t="e">
        <f>CONCATENATE("Power rank ",VLOOKUP(F284,HPs!$N$65:$P$80,2,FALSE),", max. duration ",'Character sheet'!$D$17," minutes")</f>
        <v>#N/A</v>
      </c>
      <c r="H284" s="24" t="s">
        <v>276</v>
      </c>
    </row>
    <row r="285" spans="1:8" ht="12.75">
      <c r="A285" s="129">
        <v>15</v>
      </c>
      <c r="B285" s="101">
        <v>72</v>
      </c>
      <c r="C285" s="101">
        <f t="shared" si="22"/>
        <v>1472</v>
      </c>
      <c r="D285" s="101">
        <f t="shared" si="21"/>
        <v>233</v>
      </c>
      <c r="E285" s="130" t="s">
        <v>1182</v>
      </c>
      <c r="F285" s="24" t="e">
        <f>VLOOKUP(D285,'Character sheet'!$X$49:$AB$62,4,FALSE)</f>
        <v>#N/A</v>
      </c>
      <c r="G285" s="24" t="e">
        <f>CONCATENATE(VLOOKUP(F285,HPs!$N$65:$P$80,2,FALSE)," resistance against blunt damage, may fall ",VLOOKUP(F285,HPs!$N$65:$P$80,2,FALSE)," floors without harm")</f>
        <v>#N/A</v>
      </c>
      <c r="H285" s="135" t="s">
        <v>277</v>
      </c>
    </row>
    <row r="286" spans="1:8" ht="12.75">
      <c r="A286" s="129">
        <v>15</v>
      </c>
      <c r="B286" s="101">
        <v>75</v>
      </c>
      <c r="C286" s="101">
        <f t="shared" si="22"/>
        <v>1475</v>
      </c>
      <c r="D286" s="101">
        <f t="shared" si="21"/>
        <v>234</v>
      </c>
      <c r="E286" s="130" t="s">
        <v>1183</v>
      </c>
      <c r="F286" s="24" t="e">
        <f>VLOOKUP(D286,'Character sheet'!$X$49:$AB$62,4,FALSE)</f>
        <v>#N/A</v>
      </c>
      <c r="G286" s="24" t="e">
        <f>CONCATENATE("No. of simult. actions ",VLOOKUP(F286,HPs!$D$83:$W$98,18,FALSE),", Str/Agil. modifier ",VLOOKUP(F286,HPs!$D$83:$W$98,19,FALSE),", range ",VLOOKUP(F286,HPs!$D$83:$W$98,20,FALSE))</f>
        <v>#N/A</v>
      </c>
      <c r="H286" s="24" t="e">
        <f>CONCATENATE("Loss of more than half the hair reduces health by ",ROUND('Character sheet'!$F$11/3,0)," points")</f>
        <v>#N/A</v>
      </c>
    </row>
    <row r="287" spans="1:8" ht="12.75">
      <c r="A287" s="129">
        <v>15</v>
      </c>
      <c r="B287" s="101">
        <v>79</v>
      </c>
      <c r="C287" s="101">
        <f t="shared" si="22"/>
        <v>1479</v>
      </c>
      <c r="D287" s="101">
        <f t="shared" si="21"/>
        <v>235</v>
      </c>
      <c r="E287" s="130" t="s">
        <v>1184</v>
      </c>
      <c r="F287" s="24" t="e">
        <f>VLOOKUP(D287,'Character sheet'!$X$49:$AB$62,4,FALSE)</f>
        <v>#N/A</v>
      </c>
      <c r="G287" s="24" t="e">
        <f>CONCATENATE("Maximum of ",VLOOKUP(F287,HPs!$N$65:$O$80,2,FALSE)," duplicates, duration ",VLOOKUP(F287,HPs!$N$65:$O$80,2,FALSE)," minutes, stats identical to hero's")</f>
        <v>#N/A</v>
      </c>
      <c r="H287" s="24" t="s">
        <v>293</v>
      </c>
    </row>
    <row r="288" spans="1:15" ht="12.75">
      <c r="A288" s="129">
        <v>15</v>
      </c>
      <c r="B288" s="101">
        <v>82</v>
      </c>
      <c r="C288" s="101">
        <f t="shared" si="22"/>
        <v>1482</v>
      </c>
      <c r="D288" s="101">
        <f t="shared" si="21"/>
        <v>236</v>
      </c>
      <c r="E288" s="130" t="s">
        <v>1185</v>
      </c>
      <c r="F288" s="24" t="e">
        <f>VLOOKUP(D288,'Character sheet'!$X$49:$AB$62,4,FALSE)</f>
        <v>#N/A</v>
      </c>
      <c r="G288" s="24" t="e">
        <f>CONCATENATE("Plant-hero's physical stats: F=",VLOOKUP(L288,HPs!$Q$65:$R$80,2),", A=",VLOOKUP(M288,HPs!$Q$65:$R$80,2),", S=",VLOOKUP(N288,HPs!$Q$65:$R$80,2),", E=",VLOOKUP(O288,HPs!$Q$65:$R$80,2))</f>
        <v>#N/A</v>
      </c>
      <c r="H288" s="24" t="s">
        <v>310</v>
      </c>
      <c r="L288" s="24" t="e">
        <f>VLOOKUP('Character sheet'!$Z$39,HPs!$H$47:$O$54,8)-2</f>
        <v>#N/A</v>
      </c>
      <c r="M288" s="24" t="e">
        <f>VLOOKUP('Character sheet'!$Z$40,HPs!$H$47:$O$54,8)</f>
        <v>#N/A</v>
      </c>
      <c r="N288" s="24" t="e">
        <f>VLOOKUP('Character sheet'!$Z$41,HPs!$H$47:$O$54,8)</f>
        <v>#N/A</v>
      </c>
      <c r="O288" s="24" t="e">
        <f>VLOOKUP('Character sheet'!$Z$42,HPs!$H$47:$O$54,8)+2</f>
        <v>#N/A</v>
      </c>
    </row>
    <row r="289" spans="1:8" ht="12.75">
      <c r="A289" s="129">
        <v>15</v>
      </c>
      <c r="B289" s="101">
        <v>85</v>
      </c>
      <c r="C289" s="101">
        <f t="shared" si="22"/>
        <v>1485</v>
      </c>
      <c r="D289" s="101">
        <f t="shared" si="21"/>
        <v>237</v>
      </c>
      <c r="E289" s="130" t="s">
        <v>1186</v>
      </c>
      <c r="F289" s="24" t="e">
        <f>VLOOKUP(D289,'Character sheet'!$X$49:$AB$62,4,FALSE)</f>
        <v>#N/A</v>
      </c>
      <c r="G289" s="24" t="e">
        <f>CONCATENATE("Maximum duration ",VLOOKUP(F289,HPs!$N$65:$O$80,2,FALSE)," minutes, stats identical to hero's")</f>
        <v>#N/A</v>
      </c>
      <c r="H289" s="24" t="s">
        <v>311</v>
      </c>
    </row>
    <row r="290" spans="1:8" ht="12.75">
      <c r="A290" s="129">
        <v>15</v>
      </c>
      <c r="B290" s="101">
        <v>91</v>
      </c>
      <c r="C290" s="101">
        <f t="shared" si="22"/>
        <v>1491</v>
      </c>
      <c r="D290" s="101">
        <f t="shared" si="21"/>
        <v>238</v>
      </c>
      <c r="E290" s="130" t="s">
        <v>1187</v>
      </c>
      <c r="F290" s="24" t="e">
        <f>VLOOKUP(D290,'Character sheet'!$X$49:$AB$62,4,FALSE)</f>
        <v>#N/A</v>
      </c>
      <c r="G290" s="24" t="e">
        <f>CONCATENATE("Resultant size ",VLOOKUP(F290,HPs!$D$83:$L$398,9,FALSE),", to-hit against hero: -",VLOOKUP(F290,HPs!$D$83:$T$98,17,FALSE),"CS, damage: +",VLOOKUP(F290,HPs!$D$83:$T$98,17,FALSE),"CS")</f>
        <v>#N/A</v>
      </c>
      <c r="H290" s="131" t="e">
        <f>$Z$27</f>
        <v>#N/A</v>
      </c>
    </row>
    <row r="291" spans="1:8" ht="12.75">
      <c r="A291" s="129">
        <v>15</v>
      </c>
      <c r="B291" s="101">
        <v>95</v>
      </c>
      <c r="C291" s="101">
        <f t="shared" si="22"/>
        <v>1495</v>
      </c>
      <c r="D291" s="101">
        <f t="shared" si="21"/>
        <v>239</v>
      </c>
      <c r="E291" s="130" t="s">
        <v>1188</v>
      </c>
      <c r="F291" s="24" t="e">
        <f>VLOOKUP(D291,'Character sheet'!$X$49:$AB$62,4,FALSE)</f>
        <v>#N/A</v>
      </c>
      <c r="G291" s="24" t="e">
        <f>CONCATENATE("Maximum duration ",'Character sheet'!$D$17," minutes")</f>
        <v>#N/A</v>
      </c>
      <c r="H291" s="24" t="s">
        <v>312</v>
      </c>
    </row>
    <row r="292" spans="1:8" ht="12.75">
      <c r="A292" s="132">
        <v>15</v>
      </c>
      <c r="B292" s="105">
        <v>100</v>
      </c>
      <c r="C292" s="105">
        <f t="shared" si="22"/>
        <v>1500</v>
      </c>
      <c r="D292" s="105">
        <f t="shared" si="21"/>
        <v>240</v>
      </c>
      <c r="E292" s="133" t="s">
        <v>1189</v>
      </c>
      <c r="F292" s="24" t="e">
        <f>VLOOKUP(D292,'Character sheet'!$X$49:$AB$62,4,FALSE)</f>
        <v>#N/A</v>
      </c>
      <c r="G292" s="125" t="s">
        <v>313</v>
      </c>
      <c r="H292" s="125" t="s">
        <v>314</v>
      </c>
    </row>
    <row r="293" spans="1:8" ht="12.75">
      <c r="A293" s="129">
        <v>16</v>
      </c>
      <c r="B293" s="101">
        <v>1</v>
      </c>
      <c r="C293" s="101">
        <f>B293+1500</f>
        <v>1501</v>
      </c>
      <c r="D293" s="101">
        <f t="shared" si="21"/>
        <v>241</v>
      </c>
      <c r="E293" s="130" t="s">
        <v>1190</v>
      </c>
      <c r="F293" s="24" t="e">
        <f>VLOOKUP(D293,'Character sheet'!$X$49:$AB$62,4,FALSE)</f>
        <v>#N/A</v>
      </c>
      <c r="G293" s="24" t="e">
        <f>CONCATENATE("Travel range ",VLOOKUP(F293,HPs!$D$83:$X$98,21,FALSE)," miles, travels instantly")</f>
        <v>#N/A</v>
      </c>
      <c r="H293" s="24" t="s">
        <v>323</v>
      </c>
    </row>
    <row r="294" spans="1:8" ht="12.75">
      <c r="A294" s="129">
        <v>16</v>
      </c>
      <c r="B294" s="101">
        <v>3</v>
      </c>
      <c r="C294" s="101">
        <f aca="true" t="shared" si="23" ref="C294:C315">B294+1500</f>
        <v>1503</v>
      </c>
      <c r="D294" s="101">
        <f t="shared" si="21"/>
        <v>242</v>
      </c>
      <c r="E294" s="130" t="s">
        <v>1191</v>
      </c>
      <c r="F294" s="24" t="e">
        <f>VLOOKUP(D294,'Character sheet'!$X$49:$AB$62,4,FALSE)</f>
        <v>#N/A</v>
      </c>
      <c r="G294" s="24" t="e">
        <f>CONCATENATE("Flight speed ",VLOOKUP(F294,HPs!$D$83:$X$98,12,FALSE),"/turn  ~ ",VLOOKUP(F294,HPs!$D$83:$AC$98,26,FALSE),", carrying capacity ",VLOOKUP(F294,HPs!$D$83:$Y$98,22,FALSE))</f>
        <v>#N/A</v>
      </c>
      <c r="H294" s="24" t="s">
        <v>324</v>
      </c>
    </row>
    <row r="295" spans="1:8" ht="12.75">
      <c r="A295" s="129">
        <v>16</v>
      </c>
      <c r="B295" s="101">
        <v>7</v>
      </c>
      <c r="C295" s="101">
        <f t="shared" si="23"/>
        <v>1507</v>
      </c>
      <c r="D295" s="101">
        <f t="shared" si="21"/>
        <v>243</v>
      </c>
      <c r="E295" s="130" t="s">
        <v>1192</v>
      </c>
      <c r="F295" s="24" t="e">
        <f>VLOOKUP(D295,'Character sheet'!$X$49:$AB$62,4,FALSE)</f>
        <v>#N/A</v>
      </c>
      <c r="G295" s="24" t="e">
        <f>CONCATENATE("Power rank ",VLOOKUP(F295,HPs!$N$65:$P$80,2,FALSE))</f>
        <v>#N/A</v>
      </c>
      <c r="H295" s="24" t="s">
        <v>342</v>
      </c>
    </row>
    <row r="296" spans="1:8" ht="12.75">
      <c r="A296" s="129">
        <v>16</v>
      </c>
      <c r="B296" s="101">
        <v>11</v>
      </c>
      <c r="C296" s="101">
        <f t="shared" si="23"/>
        <v>1511</v>
      </c>
      <c r="D296" s="101">
        <f t="shared" si="21"/>
        <v>244</v>
      </c>
      <c r="E296" s="130" t="s">
        <v>1193</v>
      </c>
      <c r="F296" s="24" t="e">
        <f>VLOOKUP(D296,'Character sheet'!$X$49:$AB$62,4,FALSE)</f>
        <v>#N/A</v>
      </c>
      <c r="G296" s="24" t="e">
        <f>CONCATENATE("Max speed is that of energy, additional transporting capacity ",VLOOKUP(F296,HPs!$D$83:$Y$98,22,FALSE))</f>
        <v>#N/A</v>
      </c>
      <c r="H296" s="24" t="s">
        <v>343</v>
      </c>
    </row>
    <row r="297" spans="1:8" ht="12.75">
      <c r="A297" s="129">
        <v>16</v>
      </c>
      <c r="B297" s="101">
        <v>13</v>
      </c>
      <c r="C297" s="101">
        <f t="shared" si="23"/>
        <v>1513</v>
      </c>
      <c r="D297" s="101">
        <f t="shared" si="21"/>
        <v>245</v>
      </c>
      <c r="E297" s="130" t="s">
        <v>1194</v>
      </c>
      <c r="F297" s="24" t="e">
        <f>VLOOKUP(D297,'Character sheet'!$X$49:$AB$62,4,FALSE)</f>
        <v>#N/A</v>
      </c>
      <c r="G297" s="24" t="e">
        <f>CONCATENATE("Power rank ",VLOOKUP(F297,HPs!$N$65:$P$80,2,FALSE),", flight speed ",VLOOKUP(F297,HPs!$D$83:$X$98,12,FALSE),"/turn ~ ",VLOOKUP(F297,HPs!$D$83:$AC$98,26,FALSE))</f>
        <v>#N/A</v>
      </c>
      <c r="H297" s="24" t="s">
        <v>344</v>
      </c>
    </row>
    <row r="298" spans="1:8" ht="12.75">
      <c r="A298" s="129">
        <v>16</v>
      </c>
      <c r="B298" s="101">
        <v>15</v>
      </c>
      <c r="C298" s="101">
        <f t="shared" si="23"/>
        <v>1515</v>
      </c>
      <c r="D298" s="101">
        <f t="shared" si="21"/>
        <v>246</v>
      </c>
      <c r="E298" s="130" t="s">
        <v>1195</v>
      </c>
      <c r="F298" s="24" t="e">
        <f>VLOOKUP(D298,'Character sheet'!$X$49:$AB$62,4,FALSE)</f>
        <v>#N/A</v>
      </c>
      <c r="G298" s="24" t="e">
        <f>CONCATENATE("No. of gates ",VLOOKUP(F298,HPs!$N$65:$P$80,2,FALSE),", range ",VLOOKUP(F298,HPs!$D$83:$X$98,6,FALSE),", ",VLOOKUP(F298,HPs!$N$65:$P$80,2,FALSE)*100," years to future/past")</f>
        <v>#N/A</v>
      </c>
      <c r="H298" s="24" t="s">
        <v>345</v>
      </c>
    </row>
    <row r="299" spans="1:8" ht="12.75">
      <c r="A299" s="129">
        <v>16</v>
      </c>
      <c r="B299" s="101">
        <v>21</v>
      </c>
      <c r="C299" s="101">
        <f t="shared" si="23"/>
        <v>1521</v>
      </c>
      <c r="D299" s="101">
        <f t="shared" si="21"/>
        <v>247</v>
      </c>
      <c r="E299" s="130" t="s">
        <v>1196</v>
      </c>
      <c r="F299" s="24" t="e">
        <f>VLOOKUP(D299,'Character sheet'!$X$49:$AB$62,4,FALSE)</f>
        <v>#N/A</v>
      </c>
      <c r="G299" s="24" t="e">
        <f>CONCATENATE("Power rank ",VLOOKUP(F299,HPs!$N$65:$P$80,2,FALSE),", flight speed ",VLOOKUP(F299,HPs!$D$83:$X$98,12,FALSE),"/turn ~ ",VLOOKUP(F299,HPs!$D$83:$AC$98,26,FALSE))</f>
        <v>#N/A</v>
      </c>
      <c r="H299" s="24" t="s">
        <v>346</v>
      </c>
    </row>
    <row r="300" spans="1:8" ht="12.75">
      <c r="A300" s="129">
        <v>16</v>
      </c>
      <c r="B300" s="101">
        <v>27</v>
      </c>
      <c r="C300" s="101">
        <f t="shared" si="23"/>
        <v>1527</v>
      </c>
      <c r="D300" s="101">
        <f t="shared" si="21"/>
        <v>248</v>
      </c>
      <c r="E300" s="130" t="s">
        <v>1197</v>
      </c>
      <c r="F300" s="24" t="e">
        <f>VLOOKUP(D300,'Character sheet'!$X$49:$AB$62,4,FALSE)</f>
        <v>#N/A</v>
      </c>
      <c r="G300" s="24" t="e">
        <f>CONCATENATE("Power rank ",VLOOKUP(F300,HPs!$N$65:$P$80,2,FALSE),", tunneling speed ",VLOOKUP(F300,HPs!$D$83:$X$98,11,FALSE),"/turn ~ ",VLOOKUP(F300,HPs!$D$83:$AC$98,25,FALSE))</f>
        <v>#N/A</v>
      </c>
      <c r="H300" s="24" t="s">
        <v>347</v>
      </c>
    </row>
    <row r="301" spans="1:11" ht="12.75">
      <c r="A301" s="129">
        <v>16</v>
      </c>
      <c r="B301" s="101">
        <v>29</v>
      </c>
      <c r="C301" s="101">
        <f t="shared" si="23"/>
        <v>1529</v>
      </c>
      <c r="D301" s="101">
        <f t="shared" si="21"/>
        <v>249</v>
      </c>
      <c r="E301" s="130" t="s">
        <v>1198</v>
      </c>
      <c r="F301" s="24" t="e">
        <f>VLOOKUP(D301,'Character sheet'!$X$49:$AB$62,4,FALSE)</f>
        <v>#N/A</v>
      </c>
      <c r="G301" s="24" t="e">
        <f>CONCATENATE("Leap up/across ",VLOOKUP(F301,HPs!$D$83:$AA$98,23,FALSE),", down ",VLOOKUP(F301,HPs!$D$83:$AA$98,24,FALSE),", travel speed ",VLOOKUP(K301,HPs!$D$83:$N$98,11,FALSE),"/turn~ ",VLOOKUP(K301,HPs!$D$83:$AC$98,25,FALSE))</f>
        <v>#N/A</v>
      </c>
      <c r="H301" s="24" t="s">
        <v>370</v>
      </c>
      <c r="J301" s="24" t="e">
        <f>MAX(VLOOKUP(F301,HPs!$N$65:$Q$80,4,FALSE)-3,1)</f>
        <v>#N/A</v>
      </c>
      <c r="K301" s="24" t="e">
        <f>VLOOKUP(J301,HPs!$M$65:$N$80,2)</f>
        <v>#N/A</v>
      </c>
    </row>
    <row r="302" spans="1:8" ht="12.75">
      <c r="A302" s="129">
        <v>16</v>
      </c>
      <c r="B302" s="101">
        <v>35</v>
      </c>
      <c r="C302" s="101">
        <f t="shared" si="23"/>
        <v>1535</v>
      </c>
      <c r="D302" s="101">
        <f t="shared" si="21"/>
        <v>250</v>
      </c>
      <c r="E302" s="130" t="s">
        <v>1199</v>
      </c>
      <c r="F302" s="24" t="e">
        <f>VLOOKUP(D302,'Character sheet'!$X$49:$AB$62,4,FALSE)</f>
        <v>#N/A</v>
      </c>
      <c r="G302" s="127" t="e">
        <f>CONCATENATE("Running speed ",VLOOKUP(F302,HPs!$D$83:$N$98,11,FALSE),"/turn ~ ",VLOOKUP(F302,HPs!$D$83:$AC$98,25,FALSE))</f>
        <v>#N/A</v>
      </c>
      <c r="H302" s="24" t="s">
        <v>1400</v>
      </c>
    </row>
    <row r="303" spans="1:8" ht="12.75">
      <c r="A303" s="129">
        <v>16</v>
      </c>
      <c r="B303" s="101">
        <v>43</v>
      </c>
      <c r="C303" s="101">
        <f t="shared" si="23"/>
        <v>1543</v>
      </c>
      <c r="D303" s="101">
        <f t="shared" si="21"/>
        <v>251</v>
      </c>
      <c r="E303" s="130" t="s">
        <v>1200</v>
      </c>
      <c r="F303" s="24" t="e">
        <f>VLOOKUP(D303,'Character sheet'!$X$49:$AB$62,4,FALSE)</f>
        <v>#N/A</v>
      </c>
      <c r="G303" s="127" t="e">
        <f>CONCATENATE("Swimming speed ",VLOOKUP(F303,HPs!$D$83:$N$98,11,FALSE),"/turn ~ ",VLOOKUP(F303,HPs!$D$83:$AC$98,25,FALSE))</f>
        <v>#N/A</v>
      </c>
      <c r="H303" s="24" t="s">
        <v>1401</v>
      </c>
    </row>
    <row r="304" spans="1:8" ht="12.75">
      <c r="A304" s="129">
        <v>16</v>
      </c>
      <c r="B304" s="101">
        <v>47</v>
      </c>
      <c r="C304" s="101">
        <f t="shared" si="23"/>
        <v>1547</v>
      </c>
      <c r="D304" s="101">
        <f t="shared" si="21"/>
        <v>252</v>
      </c>
      <c r="E304" s="130" t="s">
        <v>1201</v>
      </c>
      <c r="F304" s="24" t="e">
        <f>VLOOKUP(D304,'Character sheet'!$X$49:$AB$62,4,FALSE)</f>
        <v>#N/A</v>
      </c>
      <c r="G304" s="24" t="e">
        <f>CONCATENATE("Power rank ",VLOOKUP(F304,HPs!$N$65:$P$80,2,FALSE),", vertical flight speed ",VLOOKUP(F304,HPs!$D$83:$X$98,12,FALSE),"/turn ~ ",VLOOKUP(F304,HPs!$D$83:$AC$98,26,FALSE))</f>
        <v>#N/A</v>
      </c>
      <c r="H304" s="24" t="s">
        <v>1403</v>
      </c>
    </row>
    <row r="305" spans="1:8" ht="12.75">
      <c r="A305" s="129">
        <v>16</v>
      </c>
      <c r="B305" s="101">
        <v>52</v>
      </c>
      <c r="C305" s="101">
        <f t="shared" si="23"/>
        <v>1552</v>
      </c>
      <c r="D305" s="101">
        <f t="shared" si="21"/>
        <v>253</v>
      </c>
      <c r="E305" s="130" t="s">
        <v>1202</v>
      </c>
      <c r="F305" s="24" t="e">
        <f>VLOOKUP(D305,'Character sheet'!$X$49:$AB$62,4,FALSE)</f>
        <v>#N/A</v>
      </c>
      <c r="G305" s="24" t="e">
        <f>CONCATENATE("Power rank ",VLOOKUP(F305,HPs!$N$65:$P$80,2,FALSE),", flight speed ",VLOOKUP(F305,HPs!$D$83:$X$98,12,FALSE),"/turn ~ ",VLOOKUP(F305,HPs!$D$83:$AC$98,26,FALSE))</f>
        <v>#N/A</v>
      </c>
      <c r="H305" s="24" t="s">
        <v>1402</v>
      </c>
    </row>
    <row r="306" spans="1:8" ht="12.75">
      <c r="A306" s="129">
        <v>16</v>
      </c>
      <c r="B306" s="101">
        <v>57</v>
      </c>
      <c r="C306" s="101">
        <f t="shared" si="23"/>
        <v>1557</v>
      </c>
      <c r="D306" s="101">
        <f t="shared" si="21"/>
        <v>254</v>
      </c>
      <c r="E306" s="130" t="s">
        <v>1203</v>
      </c>
      <c r="F306" s="24" t="e">
        <f>VLOOKUP(D306,'Character sheet'!$X$49:$AB$62,4,FALSE)</f>
        <v>#N/A</v>
      </c>
      <c r="G306" s="24" t="e">
        <f>CONCATENATE("Power rank ",VLOOKUP(F306,HPs!$N$65:$P$80,2,FALSE),", flight speed ",VLOOKUP(F306,HPs!$D$83:$X$98,12,FALSE),"/turn ~ ",VLOOKUP(F306,HPs!$D$83:$AC$98,26,FALSE))</f>
        <v>#N/A</v>
      </c>
      <c r="H306" s="24" t="s">
        <v>1404</v>
      </c>
    </row>
    <row r="307" spans="1:8" ht="12.75">
      <c r="A307" s="129">
        <v>16</v>
      </c>
      <c r="B307" s="101">
        <v>59</v>
      </c>
      <c r="C307" s="101">
        <f t="shared" si="23"/>
        <v>1559</v>
      </c>
      <c r="D307" s="101">
        <f t="shared" si="21"/>
        <v>255</v>
      </c>
      <c r="E307" s="130" t="s">
        <v>1204</v>
      </c>
      <c r="F307" s="24" t="e">
        <f>VLOOKUP(D307,'Character sheet'!$X$49:$AB$62,4,FALSE)</f>
        <v>#N/A</v>
      </c>
      <c r="G307" s="24" t="e">
        <f>CONCATENATE("Power rank ",VLOOKUP(F307,HPs!$N$65:$P$80,2,FALSE),", climb speed ",VLOOKUP('Character sheet'!C14,HPs!$D$83:$AD$98,27,FALSE),"/turn")</f>
        <v>#N/A</v>
      </c>
      <c r="H307" s="24" t="s">
        <v>1406</v>
      </c>
    </row>
    <row r="308" spans="1:8" ht="12.75">
      <c r="A308" s="129">
        <v>16</v>
      </c>
      <c r="B308" s="101">
        <v>65</v>
      </c>
      <c r="C308" s="101">
        <f t="shared" si="23"/>
        <v>1565</v>
      </c>
      <c r="D308" s="101">
        <f t="shared" si="21"/>
        <v>256</v>
      </c>
      <c r="E308" s="130" t="s">
        <v>1205</v>
      </c>
      <c r="F308" s="24" t="e">
        <f>VLOOKUP(D308,'Character sheet'!$X$49:$AB$62,4,FALSE)</f>
        <v>#N/A</v>
      </c>
      <c r="G308" s="24" t="e">
        <f>CONCATENATE("Teleport range ",VLOOKUP(F308,HPs!$D$83:$X$98,6,FALSE),", max teleport weight ",VLOOKUP('Character sheet'!$C$13,HPs!$D$83:$AD$98,22,FALSE))</f>
        <v>#N/A</v>
      </c>
      <c r="H308" s="24" t="s">
        <v>1407</v>
      </c>
    </row>
    <row r="309" spans="1:8" ht="12.75">
      <c r="A309" s="129">
        <v>16</v>
      </c>
      <c r="B309" s="101">
        <v>73</v>
      </c>
      <c r="C309" s="101">
        <f t="shared" si="23"/>
        <v>1573</v>
      </c>
      <c r="D309" s="101">
        <f t="shared" si="21"/>
        <v>257</v>
      </c>
      <c r="E309" s="130" t="s">
        <v>1206</v>
      </c>
      <c r="F309" s="24" t="e">
        <f>VLOOKUP(D309,'Character sheet'!$X$49:$AB$62,4,FALSE)</f>
        <v>#N/A</v>
      </c>
      <c r="G309" s="24" t="e">
        <f>CONCATENATE("Teleport range ",VLOOKUP(F309,HPs!$D$83:$X$98,6,FALSE),", max teleport weight ",VLOOKUP('Character sheet'!$C$13,HPs!$D$83:$AD$98,22,FALSE))</f>
        <v>#N/A</v>
      </c>
      <c r="H309" s="24" t="s">
        <v>1408</v>
      </c>
    </row>
    <row r="310" spans="1:8" ht="12.75">
      <c r="A310" s="129">
        <v>16</v>
      </c>
      <c r="B310" s="101">
        <v>77</v>
      </c>
      <c r="C310" s="101">
        <f t="shared" si="23"/>
        <v>1577</v>
      </c>
      <c r="D310" s="101">
        <f t="shared" si="21"/>
        <v>258</v>
      </c>
      <c r="E310" s="130" t="s">
        <v>1207</v>
      </c>
      <c r="F310" s="24" t="e">
        <f>VLOOKUP(D310,'Character sheet'!$X$49:$AB$62,4,FALSE)</f>
        <v>#N/A</v>
      </c>
      <c r="G310" s="24" t="e">
        <f>CONCATENATE("Telereformation range ",VLOOKUP(F310,HPs!$D$83:$X$98,6,FALSE),", no extra weight allowerd")</f>
        <v>#N/A</v>
      </c>
      <c r="H310" s="24" t="s">
        <v>0</v>
      </c>
    </row>
    <row r="311" spans="1:8" ht="12.75">
      <c r="A311" s="129">
        <v>16</v>
      </c>
      <c r="B311" s="101">
        <v>79</v>
      </c>
      <c r="C311" s="101">
        <f t="shared" si="23"/>
        <v>1579</v>
      </c>
      <c r="D311" s="101">
        <f>D310+1</f>
        <v>259</v>
      </c>
      <c r="E311" s="130" t="s">
        <v>1208</v>
      </c>
      <c r="F311" s="24" t="e">
        <f>VLOOKUP(D311,'Character sheet'!$X$49:$AB$62,4,FALSE)</f>
        <v>#N/A</v>
      </c>
      <c r="G311" s="24" t="e">
        <f>CONCATENATE("Past ",VLOOKUP(F311,HPs!$N$65:$O$80,2,FALSE)*1000," years, future ",VLOOKUP(F311,HPs!$N$65:$O$80,2,FALSE)*10," years,  max weight ",VLOOKUP('Character sheet'!$C$13,HPs!$D$83:$AD$98,22,FALSE))</f>
        <v>#N/A</v>
      </c>
      <c r="H311" s="24" t="s">
        <v>1</v>
      </c>
    </row>
    <row r="312" spans="1:8" ht="12.75">
      <c r="A312" s="129">
        <v>16</v>
      </c>
      <c r="B312" s="101">
        <v>81</v>
      </c>
      <c r="C312" s="101">
        <f t="shared" si="23"/>
        <v>1581</v>
      </c>
      <c r="D312" s="101">
        <f>D311+1</f>
        <v>260</v>
      </c>
      <c r="E312" s="130" t="s">
        <v>1209</v>
      </c>
      <c r="F312" s="24" t="e">
        <f>VLOOKUP(D312,'Character sheet'!$X$49:$AB$62,4,FALSE)</f>
        <v>#N/A</v>
      </c>
      <c r="G312" s="24" t="e">
        <f>CONCATENATE("Range ",VLOOKUP(F312,HPs!$D$83:$X$98,6,FALSE),", max additional carryon weight ",VLOOKUP(F312,HPs!$N$65:$O$80,2,FALSE)," pounds")</f>
        <v>#N/A</v>
      </c>
      <c r="H312" s="24" t="s">
        <v>877</v>
      </c>
    </row>
    <row r="313" spans="1:8" ht="12.75">
      <c r="A313" s="129">
        <v>16</v>
      </c>
      <c r="B313" s="101">
        <v>83</v>
      </c>
      <c r="C313" s="101">
        <f t="shared" si="23"/>
        <v>1583</v>
      </c>
      <c r="D313" s="101">
        <f>D312+1</f>
        <v>261</v>
      </c>
      <c r="E313" s="130" t="s">
        <v>1210</v>
      </c>
      <c r="F313" s="24" t="e">
        <f>VLOOKUP(D313,'Character sheet'!$X$49:$AB$62,4,FALSE)</f>
        <v>#N/A</v>
      </c>
      <c r="G313" s="24" t="e">
        <f>CONCATENATE("Power rank ",VLOOKUP(F313,HPs!$N$65:$P$80,2,FALSE),", air speed ",VLOOKUP(F313,HPs!$D$83:$X$98,12,FALSE),"/turn ~ ",VLOOKUP(F313,HPs!$D$83:$AC$98,26,FALSE))</f>
        <v>#N/A</v>
      </c>
      <c r="H313" s="24" t="s">
        <v>878</v>
      </c>
    </row>
    <row r="314" spans="1:11" ht="12.75">
      <c r="A314" s="129">
        <v>16</v>
      </c>
      <c r="B314" s="101">
        <v>94</v>
      </c>
      <c r="C314" s="101">
        <f t="shared" si="23"/>
        <v>1594</v>
      </c>
      <c r="D314" s="101">
        <f>D313+1</f>
        <v>262</v>
      </c>
      <c r="E314" s="130" t="s">
        <v>1212</v>
      </c>
      <c r="F314" s="24" t="e">
        <f>VLOOKUP(D314,'Character sheet'!$X$49:$AB$62,4,FALSE)</f>
        <v>#N/A</v>
      </c>
      <c r="G314" s="24" t="e">
        <f>CONCATENATE("Speed ",VLOOKUP(F314,HPs!$D$83:$X$98,11,FALSE),"/turn ~ ",VLOOKUP(F314,HPs!$D$83:$AC$98,25,FALSE),", carryon weight ",VLOOKUP('Character sheet'!$C$13,HPs!$D$83:$AD$98,22,FALSE),K314)</f>
        <v>#N/A</v>
      </c>
      <c r="H314" s="24" t="s">
        <v>879</v>
      </c>
      <c r="J314" s="48" t="e">
        <f>VLOOKUP(262,'Character sheet'!X49:Z62,3,FALSE)</f>
        <v>#N/A</v>
      </c>
      <c r="K314" s="24" t="e">
        <f>IF(J314=-1,", 10 feet radius","")</f>
        <v>#N/A</v>
      </c>
    </row>
    <row r="315" spans="1:8" ht="12.75">
      <c r="A315" s="132">
        <v>16</v>
      </c>
      <c r="B315" s="105">
        <v>98</v>
      </c>
      <c r="C315" s="105">
        <f t="shared" si="23"/>
        <v>1598</v>
      </c>
      <c r="D315" s="105">
        <f>D314+1</f>
        <v>263</v>
      </c>
      <c r="E315" s="133" t="s">
        <v>1213</v>
      </c>
      <c r="F315" s="24" t="e">
        <f>VLOOKUP(D315,'Character sheet'!$X$49:$AB$62,4,FALSE)</f>
        <v>#N/A</v>
      </c>
      <c r="G315" s="24" t="e">
        <f>CONCATENATE("Flight speed ",VLOOKUP(F315,HPs!$D$83:$X$98,12,FALSE),"/turn ~ ",VLOOKUP(F315,HPs!$D$83:$AC$98,26,FALSE),", resistance ",VLOOKUP(F315,HPs!$N$65:$O$80,2,FALSE)," vs. Physical &amp; Sonic")</f>
        <v>#N/A</v>
      </c>
      <c r="H315" s="24" t="s">
        <v>880</v>
      </c>
    </row>
  </sheetData>
  <sheetProtection sheet="1" objects="1" scenarios="1"/>
  <conditionalFormatting sqref="F53:F315">
    <cfRule type="expression" priority="1" dxfId="0" stopIfTrue="1">
      <formula>ISNA(F53)</formula>
    </cfRule>
  </conditionalFormatting>
  <conditionalFormatting sqref="H244:H246 G52:G291 G293:G315">
    <cfRule type="expression" priority="2" dxfId="0" stopIfTrue="1">
      <formula>ISERROR(G52)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346"/>
  <sheetViews>
    <sheetView workbookViewId="0" topLeftCell="A10">
      <selection activeCell="A1" sqref="A1"/>
    </sheetView>
  </sheetViews>
  <sheetFormatPr defaultColWidth="9.140625" defaultRowHeight="12.75"/>
  <cols>
    <col min="1" max="1" width="6.7109375" style="0" customWidth="1"/>
    <col min="2" max="4" width="6.7109375" style="1" customWidth="1"/>
    <col min="5" max="5" width="21.57421875" style="0" customWidth="1"/>
    <col min="6" max="6" width="82.8515625" style="0" customWidth="1"/>
    <col min="7" max="8" width="7.7109375" style="0" customWidth="1"/>
    <col min="9" max="9" width="7.7109375" style="1" customWidth="1"/>
    <col min="10" max="12" width="7.7109375" style="0" customWidth="1"/>
    <col min="13" max="16384" width="6.7109375" style="0" customWidth="1"/>
  </cols>
  <sheetData>
    <row r="1" spans="3:9" ht="12.75">
      <c r="C1" s="1" t="s">
        <v>968</v>
      </c>
      <c r="I1" s="14"/>
    </row>
    <row r="2" spans="2:10" ht="12.75">
      <c r="B2" s="1">
        <v>1</v>
      </c>
      <c r="C2" s="1">
        <v>1</v>
      </c>
      <c r="E2" t="s">
        <v>1225</v>
      </c>
      <c r="J2" s="1"/>
    </row>
    <row r="3" spans="2:10" ht="12.75">
      <c r="B3" s="1">
        <v>21</v>
      </c>
      <c r="C3" s="1">
        <v>2</v>
      </c>
      <c r="E3" t="s">
        <v>1226</v>
      </c>
      <c r="J3" s="1"/>
    </row>
    <row r="4" spans="2:24" ht="12.75">
      <c r="B4" s="1">
        <v>46</v>
      </c>
      <c r="C4" s="1">
        <v>3</v>
      </c>
      <c r="E4" t="s">
        <v>1227</v>
      </c>
      <c r="J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10" ht="12.75">
      <c r="B5" s="1">
        <v>66</v>
      </c>
      <c r="C5" s="1">
        <v>4</v>
      </c>
      <c r="E5" t="s">
        <v>1228</v>
      </c>
      <c r="J5" s="1"/>
    </row>
    <row r="6" spans="2:10" ht="12.75">
      <c r="B6" s="1">
        <v>86</v>
      </c>
      <c r="C6" s="1">
        <v>5</v>
      </c>
      <c r="E6" t="s">
        <v>1229</v>
      </c>
      <c r="J6" s="1"/>
    </row>
    <row r="7" spans="2:10" ht="12.75">
      <c r="B7" s="1">
        <v>91</v>
      </c>
      <c r="C7" s="1">
        <v>6</v>
      </c>
      <c r="E7" t="s">
        <v>1230</v>
      </c>
      <c r="J7" s="1"/>
    </row>
    <row r="8" ht="12.75">
      <c r="J8" s="1"/>
    </row>
    <row r="9" spans="2:9" ht="12.75">
      <c r="B9"/>
      <c r="C9"/>
      <c r="D9"/>
      <c r="I9"/>
    </row>
    <row r="11" spans="1:6" ht="12.75">
      <c r="A11" s="9">
        <v>1</v>
      </c>
      <c r="B11" s="9">
        <v>1</v>
      </c>
      <c r="C11" s="9">
        <f aca="true" t="shared" si="0" ref="C11:C19">B11</f>
        <v>1</v>
      </c>
      <c r="D11" s="9">
        <v>1</v>
      </c>
      <c r="E11" s="8" t="s">
        <v>1231</v>
      </c>
      <c r="F11" t="s">
        <v>81</v>
      </c>
    </row>
    <row r="12" spans="1:6" ht="12.75">
      <c r="A12" s="6">
        <v>1</v>
      </c>
      <c r="B12" s="6">
        <v>19</v>
      </c>
      <c r="C12" s="6">
        <f t="shared" si="0"/>
        <v>19</v>
      </c>
      <c r="D12" s="6">
        <f aca="true" t="shared" si="1" ref="D12:D63">D11+1</f>
        <v>2</v>
      </c>
      <c r="E12" s="7" t="s">
        <v>1232</v>
      </c>
      <c r="F12" t="s">
        <v>82</v>
      </c>
    </row>
    <row r="13" spans="1:6" ht="12.75">
      <c r="A13" s="6">
        <v>1</v>
      </c>
      <c r="B13" s="6">
        <v>46</v>
      </c>
      <c r="C13" s="6">
        <f t="shared" si="0"/>
        <v>46</v>
      </c>
      <c r="D13" s="6">
        <f t="shared" si="1"/>
        <v>3</v>
      </c>
      <c r="E13" s="7" t="s">
        <v>1233</v>
      </c>
      <c r="F13" t="s">
        <v>83</v>
      </c>
    </row>
    <row r="14" spans="1:6" ht="12.75">
      <c r="A14" s="6">
        <v>1</v>
      </c>
      <c r="B14" s="6">
        <v>55</v>
      </c>
      <c r="C14" s="6">
        <f t="shared" si="0"/>
        <v>55</v>
      </c>
      <c r="D14" s="6">
        <f t="shared" si="1"/>
        <v>4</v>
      </c>
      <c r="E14" s="7" t="s">
        <v>1234</v>
      </c>
      <c r="F14" t="s">
        <v>84</v>
      </c>
    </row>
    <row r="15" spans="1:6" ht="12.75">
      <c r="A15" s="6">
        <v>1</v>
      </c>
      <c r="B15" s="6">
        <v>73</v>
      </c>
      <c r="C15" s="6">
        <f t="shared" si="0"/>
        <v>73</v>
      </c>
      <c r="D15" s="6">
        <f t="shared" si="1"/>
        <v>5</v>
      </c>
      <c r="E15" s="7" t="s">
        <v>1235</v>
      </c>
      <c r="F15" t="s">
        <v>85</v>
      </c>
    </row>
    <row r="16" spans="1:6" ht="12.75">
      <c r="A16" s="6">
        <v>1</v>
      </c>
      <c r="B16" s="6">
        <v>82</v>
      </c>
      <c r="C16" s="6">
        <f t="shared" si="0"/>
        <v>82</v>
      </c>
      <c r="D16" s="6">
        <f t="shared" si="1"/>
        <v>6</v>
      </c>
      <c r="E16" s="7" t="s">
        <v>1236</v>
      </c>
      <c r="F16" t="s">
        <v>86</v>
      </c>
    </row>
    <row r="17" spans="1:6" ht="12.75">
      <c r="A17" s="6">
        <v>1</v>
      </c>
      <c r="B17" s="6">
        <v>89</v>
      </c>
      <c r="C17" s="6">
        <f t="shared" si="0"/>
        <v>89</v>
      </c>
      <c r="D17" s="6">
        <f t="shared" si="1"/>
        <v>7</v>
      </c>
      <c r="E17" s="11" t="s">
        <v>1237</v>
      </c>
      <c r="F17" t="s">
        <v>87</v>
      </c>
    </row>
    <row r="18" spans="1:6" ht="12.75">
      <c r="A18" s="6">
        <v>1</v>
      </c>
      <c r="B18" s="6">
        <v>92</v>
      </c>
      <c r="C18" s="6">
        <f t="shared" si="0"/>
        <v>92</v>
      </c>
      <c r="D18" s="6">
        <f t="shared" si="1"/>
        <v>8</v>
      </c>
      <c r="E18" s="11" t="s">
        <v>1238</v>
      </c>
      <c r="F18" t="s">
        <v>88</v>
      </c>
    </row>
    <row r="19" spans="1:6" ht="12.75">
      <c r="A19" s="18">
        <v>1</v>
      </c>
      <c r="B19" s="18">
        <v>96</v>
      </c>
      <c r="C19" s="4">
        <f t="shared" si="0"/>
        <v>96</v>
      </c>
      <c r="D19" s="18">
        <f t="shared" si="1"/>
        <v>9</v>
      </c>
      <c r="E19" s="19" t="s">
        <v>1239</v>
      </c>
      <c r="F19" t="s">
        <v>89</v>
      </c>
    </row>
    <row r="20" spans="1:6" ht="12.75">
      <c r="A20" s="9">
        <v>2</v>
      </c>
      <c r="B20" s="9">
        <v>1</v>
      </c>
      <c r="C20" s="9">
        <f aca="true" t="shared" si="2" ref="C20:C28">B20+100</f>
        <v>101</v>
      </c>
      <c r="D20" s="22">
        <f t="shared" si="1"/>
        <v>10</v>
      </c>
      <c r="E20" s="8" t="s">
        <v>1240</v>
      </c>
      <c r="F20" t="s">
        <v>79</v>
      </c>
    </row>
    <row r="21" spans="1:6" ht="12.75">
      <c r="A21" s="6">
        <v>2</v>
      </c>
      <c r="B21" s="6">
        <v>12</v>
      </c>
      <c r="C21" s="6">
        <f t="shared" si="2"/>
        <v>112</v>
      </c>
      <c r="D21" s="20">
        <f t="shared" si="1"/>
        <v>11</v>
      </c>
      <c r="E21" s="7" t="s">
        <v>1241</v>
      </c>
      <c r="F21" t="s">
        <v>80</v>
      </c>
    </row>
    <row r="22" spans="1:6" ht="12.75">
      <c r="A22" s="6">
        <v>2</v>
      </c>
      <c r="B22" s="6">
        <v>23</v>
      </c>
      <c r="C22" s="6">
        <f t="shared" si="2"/>
        <v>123</v>
      </c>
      <c r="D22" s="20">
        <f t="shared" si="1"/>
        <v>12</v>
      </c>
      <c r="E22" s="7" t="s">
        <v>1242</v>
      </c>
      <c r="F22" t="s">
        <v>77</v>
      </c>
    </row>
    <row r="23" spans="1:6" ht="12.75">
      <c r="A23" s="6">
        <v>2</v>
      </c>
      <c r="B23" s="6">
        <v>34</v>
      </c>
      <c r="C23" s="6">
        <f t="shared" si="2"/>
        <v>134</v>
      </c>
      <c r="D23" s="20">
        <f t="shared" si="1"/>
        <v>13</v>
      </c>
      <c r="E23" s="7" t="s">
        <v>1243</v>
      </c>
      <c r="F23" t="s">
        <v>90</v>
      </c>
    </row>
    <row r="24" spans="1:6" ht="12.75">
      <c r="A24" s="6">
        <v>2</v>
      </c>
      <c r="B24" s="6">
        <v>45</v>
      </c>
      <c r="C24" s="6">
        <f t="shared" si="2"/>
        <v>145</v>
      </c>
      <c r="D24" s="20">
        <f t="shared" si="1"/>
        <v>14</v>
      </c>
      <c r="E24" s="7" t="s">
        <v>1244</v>
      </c>
      <c r="F24" t="s">
        <v>78</v>
      </c>
    </row>
    <row r="25" spans="1:6" ht="12.75">
      <c r="A25" s="6">
        <v>2</v>
      </c>
      <c r="B25" s="6">
        <v>56</v>
      </c>
      <c r="C25" s="6">
        <f t="shared" si="2"/>
        <v>156</v>
      </c>
      <c r="D25" s="20">
        <f t="shared" si="1"/>
        <v>15</v>
      </c>
      <c r="E25" s="7" t="s">
        <v>1245</v>
      </c>
      <c r="F25" t="s">
        <v>91</v>
      </c>
    </row>
    <row r="26" spans="1:6" ht="12.75">
      <c r="A26" s="6">
        <v>2</v>
      </c>
      <c r="B26" s="6">
        <v>67</v>
      </c>
      <c r="C26" s="6">
        <f t="shared" si="2"/>
        <v>167</v>
      </c>
      <c r="D26" s="20">
        <f t="shared" si="1"/>
        <v>16</v>
      </c>
      <c r="E26" s="7" t="s">
        <v>1246</v>
      </c>
      <c r="F26" t="s">
        <v>92</v>
      </c>
    </row>
    <row r="27" spans="1:6" ht="12.75">
      <c r="A27" s="6">
        <v>2</v>
      </c>
      <c r="B27" s="6">
        <v>78</v>
      </c>
      <c r="C27" s="6">
        <f t="shared" si="2"/>
        <v>178</v>
      </c>
      <c r="D27" s="20">
        <f t="shared" si="1"/>
        <v>17</v>
      </c>
      <c r="E27" s="7" t="s">
        <v>1247</v>
      </c>
      <c r="F27" t="s">
        <v>93</v>
      </c>
    </row>
    <row r="28" spans="1:6" ht="12.75">
      <c r="A28" s="4">
        <v>2</v>
      </c>
      <c r="B28" s="4">
        <v>89</v>
      </c>
      <c r="C28" s="4">
        <f t="shared" si="2"/>
        <v>189</v>
      </c>
      <c r="D28" s="18">
        <f t="shared" si="1"/>
        <v>18</v>
      </c>
      <c r="E28" s="5" t="s">
        <v>1248</v>
      </c>
      <c r="F28" t="s">
        <v>1283</v>
      </c>
    </row>
    <row r="29" spans="1:6" ht="12.75">
      <c r="A29" s="9">
        <v>3</v>
      </c>
      <c r="B29" s="9">
        <v>1</v>
      </c>
      <c r="C29" s="9">
        <f aca="true" t="shared" si="3" ref="C29:C39">B29+200</f>
        <v>201</v>
      </c>
      <c r="D29" s="22">
        <f t="shared" si="1"/>
        <v>19</v>
      </c>
      <c r="E29" s="23" t="s">
        <v>1249</v>
      </c>
      <c r="F29" t="s">
        <v>94</v>
      </c>
    </row>
    <row r="30" spans="1:6" ht="12.75">
      <c r="A30" s="6">
        <v>3</v>
      </c>
      <c r="B30" s="6">
        <v>10</v>
      </c>
      <c r="C30" s="6">
        <f t="shared" si="3"/>
        <v>210</v>
      </c>
      <c r="D30" s="20">
        <f t="shared" si="1"/>
        <v>20</v>
      </c>
      <c r="E30" s="11" t="s">
        <v>1250</v>
      </c>
      <c r="F30" t="s">
        <v>1284</v>
      </c>
    </row>
    <row r="31" spans="1:6" ht="12.75">
      <c r="A31" s="6">
        <v>3</v>
      </c>
      <c r="B31" s="6">
        <v>19</v>
      </c>
      <c r="C31" s="6">
        <f t="shared" si="3"/>
        <v>219</v>
      </c>
      <c r="D31" s="20">
        <f t="shared" si="1"/>
        <v>21</v>
      </c>
      <c r="E31" s="11" t="s">
        <v>1251</v>
      </c>
      <c r="F31" t="s">
        <v>95</v>
      </c>
    </row>
    <row r="32" spans="1:6" ht="12.75">
      <c r="A32" s="6">
        <v>3</v>
      </c>
      <c r="B32" s="6">
        <v>28</v>
      </c>
      <c r="C32" s="6">
        <f t="shared" si="3"/>
        <v>228</v>
      </c>
      <c r="D32" s="20">
        <f t="shared" si="1"/>
        <v>22</v>
      </c>
      <c r="E32" s="11" t="s">
        <v>1252</v>
      </c>
      <c r="F32" t="s">
        <v>1285</v>
      </c>
    </row>
    <row r="33" spans="1:6" ht="12.75">
      <c r="A33" s="6">
        <v>3</v>
      </c>
      <c r="B33" s="6">
        <v>37</v>
      </c>
      <c r="C33" s="6">
        <f t="shared" si="3"/>
        <v>237</v>
      </c>
      <c r="D33" s="20">
        <f t="shared" si="1"/>
        <v>23</v>
      </c>
      <c r="E33" s="11" t="s">
        <v>1253</v>
      </c>
      <c r="F33" t="s">
        <v>1287</v>
      </c>
    </row>
    <row r="34" spans="1:6" ht="12.75">
      <c r="A34" s="6">
        <v>3</v>
      </c>
      <c r="B34" s="6">
        <v>46</v>
      </c>
      <c r="C34" s="6">
        <f t="shared" si="3"/>
        <v>246</v>
      </c>
      <c r="D34" s="20">
        <f t="shared" si="1"/>
        <v>24</v>
      </c>
      <c r="E34" s="11" t="s">
        <v>1258</v>
      </c>
      <c r="F34" t="s">
        <v>1286</v>
      </c>
    </row>
    <row r="35" spans="1:6" ht="12.75">
      <c r="A35" s="6">
        <v>3</v>
      </c>
      <c r="B35" s="6">
        <v>55</v>
      </c>
      <c r="C35" s="6">
        <f t="shared" si="3"/>
        <v>255</v>
      </c>
      <c r="D35" s="20">
        <f t="shared" si="1"/>
        <v>25</v>
      </c>
      <c r="E35" s="11" t="s">
        <v>1254</v>
      </c>
      <c r="F35" t="s">
        <v>1288</v>
      </c>
    </row>
    <row r="36" spans="1:6" ht="12.75">
      <c r="A36" s="6">
        <v>3</v>
      </c>
      <c r="B36" s="6">
        <v>64</v>
      </c>
      <c r="C36" s="6">
        <f t="shared" si="3"/>
        <v>264</v>
      </c>
      <c r="D36" s="20">
        <f t="shared" si="1"/>
        <v>26</v>
      </c>
      <c r="E36" s="11" t="s">
        <v>1255</v>
      </c>
      <c r="F36" t="s">
        <v>1289</v>
      </c>
    </row>
    <row r="37" spans="1:6" ht="12.75">
      <c r="A37" s="6">
        <v>3</v>
      </c>
      <c r="B37" s="6">
        <v>73</v>
      </c>
      <c r="C37" s="6">
        <f t="shared" si="3"/>
        <v>273</v>
      </c>
      <c r="D37" s="20">
        <f t="shared" si="1"/>
        <v>27</v>
      </c>
      <c r="E37" s="11" t="s">
        <v>1290</v>
      </c>
      <c r="F37" t="s">
        <v>1291</v>
      </c>
    </row>
    <row r="38" spans="1:6" ht="12.75">
      <c r="A38" s="6">
        <v>3</v>
      </c>
      <c r="B38" s="6">
        <v>82</v>
      </c>
      <c r="C38" s="6">
        <f t="shared" si="3"/>
        <v>282</v>
      </c>
      <c r="D38" s="20">
        <f t="shared" si="1"/>
        <v>28</v>
      </c>
      <c r="E38" s="11" t="s">
        <v>1256</v>
      </c>
      <c r="F38" t="s">
        <v>1292</v>
      </c>
    </row>
    <row r="39" spans="1:6" ht="12.75">
      <c r="A39" s="4">
        <v>3</v>
      </c>
      <c r="B39" s="4">
        <v>91</v>
      </c>
      <c r="C39" s="4">
        <f t="shared" si="3"/>
        <v>291</v>
      </c>
      <c r="D39" s="18">
        <f t="shared" si="1"/>
        <v>29</v>
      </c>
      <c r="E39" s="13" t="s">
        <v>1257</v>
      </c>
      <c r="F39" t="s">
        <v>1293</v>
      </c>
    </row>
    <row r="40" spans="1:6" ht="12.75">
      <c r="A40" s="21">
        <v>4</v>
      </c>
      <c r="B40" s="9">
        <v>1</v>
      </c>
      <c r="C40" s="9">
        <f aca="true" t="shared" si="4" ref="C40:C47">B40+300</f>
        <v>301</v>
      </c>
      <c r="D40" s="22">
        <f t="shared" si="1"/>
        <v>30</v>
      </c>
      <c r="E40" s="23" t="s">
        <v>1259</v>
      </c>
      <c r="F40" t="s">
        <v>1294</v>
      </c>
    </row>
    <row r="41" spans="1:6" ht="12.75">
      <c r="A41" s="10">
        <v>4</v>
      </c>
      <c r="B41" s="6">
        <v>16</v>
      </c>
      <c r="C41" s="6">
        <f t="shared" si="4"/>
        <v>316</v>
      </c>
      <c r="D41" s="20">
        <f t="shared" si="1"/>
        <v>31</v>
      </c>
      <c r="E41" s="11" t="s">
        <v>1260</v>
      </c>
      <c r="F41" t="s">
        <v>1295</v>
      </c>
    </row>
    <row r="42" spans="1:6" ht="12.75">
      <c r="A42" s="10">
        <v>4</v>
      </c>
      <c r="B42" s="6">
        <v>32</v>
      </c>
      <c r="C42" s="6">
        <f t="shared" si="4"/>
        <v>332</v>
      </c>
      <c r="D42" s="20">
        <f t="shared" si="1"/>
        <v>32</v>
      </c>
      <c r="E42" s="11" t="s">
        <v>1261</v>
      </c>
      <c r="F42" t="s">
        <v>1296</v>
      </c>
    </row>
    <row r="43" spans="1:6" ht="12.75">
      <c r="A43" s="10">
        <v>4</v>
      </c>
      <c r="B43" s="6">
        <v>50</v>
      </c>
      <c r="C43" s="6">
        <f t="shared" si="4"/>
        <v>350</v>
      </c>
      <c r="D43" s="20">
        <f t="shared" si="1"/>
        <v>33</v>
      </c>
      <c r="E43" s="11" t="s">
        <v>1262</v>
      </c>
      <c r="F43" t="s">
        <v>1349</v>
      </c>
    </row>
    <row r="44" spans="1:6" ht="12.75">
      <c r="A44" s="10">
        <v>4</v>
      </c>
      <c r="B44" s="6">
        <v>60</v>
      </c>
      <c r="C44" s="6">
        <f t="shared" si="4"/>
        <v>360</v>
      </c>
      <c r="D44" s="20">
        <f t="shared" si="1"/>
        <v>34</v>
      </c>
      <c r="E44" s="11" t="s">
        <v>1263</v>
      </c>
      <c r="F44" t="s">
        <v>1297</v>
      </c>
    </row>
    <row r="45" spans="1:6" ht="12.75">
      <c r="A45" s="10">
        <v>4</v>
      </c>
      <c r="B45" s="6">
        <v>70</v>
      </c>
      <c r="C45" s="6">
        <f t="shared" si="4"/>
        <v>370</v>
      </c>
      <c r="D45" s="20">
        <f t="shared" si="1"/>
        <v>35</v>
      </c>
      <c r="E45" s="11" t="s">
        <v>1264</v>
      </c>
      <c r="F45" t="s">
        <v>1298</v>
      </c>
    </row>
    <row r="46" spans="1:6" ht="12.75">
      <c r="A46" s="10">
        <v>4</v>
      </c>
      <c r="B46" s="6">
        <v>80</v>
      </c>
      <c r="C46" s="6">
        <f t="shared" si="4"/>
        <v>380</v>
      </c>
      <c r="D46" s="20">
        <f t="shared" si="1"/>
        <v>36</v>
      </c>
      <c r="E46" s="11" t="s">
        <v>1265</v>
      </c>
      <c r="F46" t="s">
        <v>1299</v>
      </c>
    </row>
    <row r="47" spans="1:6" ht="12.75">
      <c r="A47" s="12">
        <v>4</v>
      </c>
      <c r="B47" s="4">
        <v>90</v>
      </c>
      <c r="C47" s="4">
        <f t="shared" si="4"/>
        <v>390</v>
      </c>
      <c r="D47" s="18">
        <f t="shared" si="1"/>
        <v>37</v>
      </c>
      <c r="E47" s="13" t="s">
        <v>1266</v>
      </c>
      <c r="F47" t="s">
        <v>1300</v>
      </c>
    </row>
    <row r="48" spans="1:6" ht="12.75">
      <c r="A48" s="21">
        <v>5</v>
      </c>
      <c r="B48" s="9">
        <v>1</v>
      </c>
      <c r="C48" s="9">
        <f aca="true" t="shared" si="5" ref="C48:C53">B48+400</f>
        <v>401</v>
      </c>
      <c r="D48" s="22">
        <f t="shared" si="1"/>
        <v>38</v>
      </c>
      <c r="E48" s="23" t="s">
        <v>1267</v>
      </c>
      <c r="F48" t="s">
        <v>1301</v>
      </c>
    </row>
    <row r="49" spans="1:6" ht="12.75">
      <c r="A49" s="10">
        <v>5</v>
      </c>
      <c r="B49" s="6">
        <v>20</v>
      </c>
      <c r="C49" s="6">
        <f t="shared" si="5"/>
        <v>420</v>
      </c>
      <c r="D49" s="20">
        <f t="shared" si="1"/>
        <v>39</v>
      </c>
      <c r="E49" s="11" t="s">
        <v>1268</v>
      </c>
      <c r="F49" t="s">
        <v>1302</v>
      </c>
    </row>
    <row r="50" spans="1:6" ht="12.75">
      <c r="A50" s="10">
        <v>5</v>
      </c>
      <c r="B50" s="6">
        <v>40</v>
      </c>
      <c r="C50" s="6">
        <f t="shared" si="5"/>
        <v>440</v>
      </c>
      <c r="D50" s="20">
        <f t="shared" si="1"/>
        <v>40</v>
      </c>
      <c r="E50" s="11" t="s">
        <v>1269</v>
      </c>
      <c r="F50" t="s">
        <v>1303</v>
      </c>
    </row>
    <row r="51" spans="1:6" ht="12.75">
      <c r="A51" s="10">
        <v>5</v>
      </c>
      <c r="B51" s="6">
        <v>60</v>
      </c>
      <c r="C51" s="6">
        <f t="shared" si="5"/>
        <v>460</v>
      </c>
      <c r="D51" s="20">
        <f t="shared" si="1"/>
        <v>41</v>
      </c>
      <c r="E51" s="11" t="s">
        <v>1270</v>
      </c>
      <c r="F51" t="s">
        <v>1304</v>
      </c>
    </row>
    <row r="52" spans="1:6" ht="12.75">
      <c r="A52" s="10">
        <v>5</v>
      </c>
      <c r="B52" s="6">
        <v>80</v>
      </c>
      <c r="C52" s="6">
        <f t="shared" si="5"/>
        <v>480</v>
      </c>
      <c r="D52" s="20">
        <f t="shared" si="1"/>
        <v>42</v>
      </c>
      <c r="E52" s="11" t="s">
        <v>1271</v>
      </c>
      <c r="F52" t="s">
        <v>1305</v>
      </c>
    </row>
    <row r="53" spans="1:6" ht="12.75">
      <c r="A53" s="12">
        <v>5</v>
      </c>
      <c r="B53" s="4">
        <v>90</v>
      </c>
      <c r="C53" s="4">
        <f t="shared" si="5"/>
        <v>490</v>
      </c>
      <c r="D53" s="18">
        <f t="shared" si="1"/>
        <v>43</v>
      </c>
      <c r="E53" s="13" t="s">
        <v>1272</v>
      </c>
      <c r="F53" t="s">
        <v>1306</v>
      </c>
    </row>
    <row r="54" spans="1:6" ht="12.75">
      <c r="A54" s="21">
        <v>6</v>
      </c>
      <c r="B54" s="9">
        <v>1</v>
      </c>
      <c r="C54" s="9">
        <f aca="true" t="shared" si="6" ref="C54:C63">B54+500</f>
        <v>501</v>
      </c>
      <c r="D54" s="22">
        <f t="shared" si="1"/>
        <v>44</v>
      </c>
      <c r="E54" s="23" t="s">
        <v>1273</v>
      </c>
      <c r="F54" t="s">
        <v>1307</v>
      </c>
    </row>
    <row r="55" spans="1:6" ht="12.75">
      <c r="A55" s="10">
        <v>6</v>
      </c>
      <c r="B55" s="6">
        <v>11</v>
      </c>
      <c r="C55" s="6">
        <f t="shared" si="6"/>
        <v>511</v>
      </c>
      <c r="D55" s="20">
        <f t="shared" si="1"/>
        <v>45</v>
      </c>
      <c r="E55" s="11" t="s">
        <v>1274</v>
      </c>
      <c r="F55" t="s">
        <v>1308</v>
      </c>
    </row>
    <row r="56" spans="1:6" ht="12.75">
      <c r="A56" s="10">
        <v>6</v>
      </c>
      <c r="B56" s="6">
        <v>21</v>
      </c>
      <c r="C56" s="6">
        <f t="shared" si="6"/>
        <v>521</v>
      </c>
      <c r="D56" s="20">
        <f t="shared" si="1"/>
        <v>46</v>
      </c>
      <c r="E56" s="11" t="s">
        <v>1275</v>
      </c>
      <c r="F56" t="s">
        <v>847</v>
      </c>
    </row>
    <row r="57" spans="1:6" ht="12.75">
      <c r="A57" s="10">
        <v>6</v>
      </c>
      <c r="B57" s="6">
        <v>31</v>
      </c>
      <c r="C57" s="6">
        <f t="shared" si="6"/>
        <v>531</v>
      </c>
      <c r="D57" s="20">
        <f t="shared" si="1"/>
        <v>47</v>
      </c>
      <c r="E57" s="11" t="s">
        <v>1276</v>
      </c>
      <c r="F57" t="s">
        <v>1309</v>
      </c>
    </row>
    <row r="58" spans="1:6" ht="12.75">
      <c r="A58" s="10">
        <v>6</v>
      </c>
      <c r="B58" s="6">
        <v>41</v>
      </c>
      <c r="C58" s="6">
        <f t="shared" si="6"/>
        <v>541</v>
      </c>
      <c r="D58" s="20">
        <f t="shared" si="1"/>
        <v>48</v>
      </c>
      <c r="E58" s="11" t="s">
        <v>1277</v>
      </c>
      <c r="F58" t="s">
        <v>1310</v>
      </c>
    </row>
    <row r="59" spans="1:6" ht="12.75">
      <c r="A59" s="10">
        <v>6</v>
      </c>
      <c r="B59" s="6">
        <v>51</v>
      </c>
      <c r="C59" s="6">
        <f t="shared" si="6"/>
        <v>551</v>
      </c>
      <c r="D59" s="20">
        <f t="shared" si="1"/>
        <v>49</v>
      </c>
      <c r="E59" s="11" t="s">
        <v>1278</v>
      </c>
      <c r="F59" t="s">
        <v>1311</v>
      </c>
    </row>
    <row r="60" spans="1:6" ht="12.75">
      <c r="A60" s="10">
        <v>6</v>
      </c>
      <c r="B60" s="6">
        <v>61</v>
      </c>
      <c r="C60" s="6">
        <f t="shared" si="6"/>
        <v>561</v>
      </c>
      <c r="D60" s="20">
        <f t="shared" si="1"/>
        <v>50</v>
      </c>
      <c r="E60" s="11" t="s">
        <v>1279</v>
      </c>
      <c r="F60" t="s">
        <v>1312</v>
      </c>
    </row>
    <row r="61" spans="1:6" ht="12.75">
      <c r="A61" s="10">
        <v>6</v>
      </c>
      <c r="B61" s="6">
        <v>71</v>
      </c>
      <c r="C61" s="6">
        <f t="shared" si="6"/>
        <v>571</v>
      </c>
      <c r="D61" s="20">
        <f t="shared" si="1"/>
        <v>51</v>
      </c>
      <c r="E61" s="11" t="s">
        <v>1280</v>
      </c>
      <c r="F61" t="s">
        <v>1313</v>
      </c>
    </row>
    <row r="62" spans="1:6" ht="12.75">
      <c r="A62" s="10">
        <v>6</v>
      </c>
      <c r="B62" s="6">
        <v>81</v>
      </c>
      <c r="C62" s="6">
        <f t="shared" si="6"/>
        <v>581</v>
      </c>
      <c r="D62" s="20">
        <f t="shared" si="1"/>
        <v>52</v>
      </c>
      <c r="E62" s="11" t="s">
        <v>1281</v>
      </c>
      <c r="F62" t="s">
        <v>1314</v>
      </c>
    </row>
    <row r="63" spans="1:6" ht="12.75">
      <c r="A63" s="17">
        <v>6</v>
      </c>
      <c r="B63" s="18">
        <v>91</v>
      </c>
      <c r="C63" s="18">
        <f t="shared" si="6"/>
        <v>591</v>
      </c>
      <c r="D63" s="18">
        <f t="shared" si="1"/>
        <v>53</v>
      </c>
      <c r="E63" s="19" t="s">
        <v>1282</v>
      </c>
      <c r="F63" t="s">
        <v>1315</v>
      </c>
    </row>
    <row r="64" spans="1:5" ht="12.75">
      <c r="A64" s="10"/>
      <c r="B64" s="6"/>
      <c r="C64" s="6"/>
      <c r="D64" s="6"/>
      <c r="E64" s="11"/>
    </row>
    <row r="65" spans="1:5" ht="12.75">
      <c r="A65" s="10"/>
      <c r="B65" s="6"/>
      <c r="C65" s="6"/>
      <c r="D65" s="6"/>
      <c r="E65" s="11"/>
    </row>
    <row r="66" spans="1:5" ht="12.75">
      <c r="A66" s="10"/>
      <c r="B66" s="6"/>
      <c r="C66" s="6"/>
      <c r="D66" s="6"/>
      <c r="E66" s="11"/>
    </row>
    <row r="67" spans="1:5" ht="12.75">
      <c r="A67" s="47" t="s">
        <v>949</v>
      </c>
      <c r="B67" s="6"/>
      <c r="C67" s="6"/>
      <c r="D67" s="6"/>
      <c r="E67" s="11"/>
    </row>
    <row r="68" spans="1:6" ht="12.75">
      <c r="A68" s="10"/>
      <c r="B68" s="6">
        <v>1</v>
      </c>
      <c r="C68" s="6"/>
      <c r="D68" s="6">
        <v>1</v>
      </c>
      <c r="E68" s="11" t="s">
        <v>236</v>
      </c>
      <c r="F68" t="s">
        <v>260</v>
      </c>
    </row>
    <row r="69" spans="1:6" ht="12.75">
      <c r="A69" s="10"/>
      <c r="B69" s="6">
        <f>ROUND($B$68+99/29*D68,0)</f>
        <v>4</v>
      </c>
      <c r="C69" s="6"/>
      <c r="D69" s="6">
        <f>D68+1</f>
        <v>2</v>
      </c>
      <c r="E69" s="11" t="s">
        <v>237</v>
      </c>
      <c r="F69" t="s">
        <v>261</v>
      </c>
    </row>
    <row r="70" spans="1:6" ht="12.75">
      <c r="A70" s="10"/>
      <c r="B70" s="6">
        <f aca="true" t="shared" si="7" ref="B70:B96">ROUND($B$68+99/29*D69,0)</f>
        <v>8</v>
      </c>
      <c r="C70" s="6"/>
      <c r="D70" s="6">
        <f aca="true" t="shared" si="8" ref="D70:D96">D69+1</f>
        <v>3</v>
      </c>
      <c r="E70" s="11" t="s">
        <v>238</v>
      </c>
      <c r="F70" t="s">
        <v>262</v>
      </c>
    </row>
    <row r="71" spans="1:6" ht="12.75">
      <c r="A71" s="10"/>
      <c r="B71" s="6">
        <f t="shared" si="7"/>
        <v>11</v>
      </c>
      <c r="C71" s="6"/>
      <c r="D71" s="6">
        <f t="shared" si="8"/>
        <v>4</v>
      </c>
      <c r="E71" s="11" t="s">
        <v>239</v>
      </c>
      <c r="F71" t="s">
        <v>264</v>
      </c>
    </row>
    <row r="72" spans="1:6" ht="12.75">
      <c r="A72" s="10"/>
      <c r="B72" s="6">
        <f t="shared" si="7"/>
        <v>15</v>
      </c>
      <c r="C72" s="6"/>
      <c r="D72" s="6">
        <f t="shared" si="8"/>
        <v>5</v>
      </c>
      <c r="E72" s="11" t="s">
        <v>240</v>
      </c>
      <c r="F72" t="s">
        <v>263</v>
      </c>
    </row>
    <row r="73" spans="1:6" ht="12.75">
      <c r="A73" s="10"/>
      <c r="B73" s="6">
        <f t="shared" si="7"/>
        <v>18</v>
      </c>
      <c r="C73" s="6"/>
      <c r="D73" s="6">
        <f t="shared" si="8"/>
        <v>6</v>
      </c>
      <c r="E73" s="11" t="s">
        <v>241</v>
      </c>
      <c r="F73" t="s">
        <v>376</v>
      </c>
    </row>
    <row r="74" spans="1:6" ht="12.75">
      <c r="A74" s="10"/>
      <c r="B74" s="6">
        <f t="shared" si="7"/>
        <v>21</v>
      </c>
      <c r="C74" s="6"/>
      <c r="D74" s="6">
        <f t="shared" si="8"/>
        <v>7</v>
      </c>
      <c r="E74" s="11" t="s">
        <v>242</v>
      </c>
      <c r="F74" t="s">
        <v>377</v>
      </c>
    </row>
    <row r="75" spans="1:6" ht="12.75">
      <c r="A75" s="10"/>
      <c r="B75" s="6">
        <f t="shared" si="7"/>
        <v>25</v>
      </c>
      <c r="C75" s="6"/>
      <c r="D75" s="6">
        <f t="shared" si="8"/>
        <v>8</v>
      </c>
      <c r="E75" s="11" t="s">
        <v>243</v>
      </c>
      <c r="F75" t="s">
        <v>378</v>
      </c>
    </row>
    <row r="76" spans="1:6" ht="12.75">
      <c r="A76" s="10"/>
      <c r="B76" s="6">
        <f t="shared" si="7"/>
        <v>28</v>
      </c>
      <c r="C76" s="6"/>
      <c r="D76" s="6">
        <f t="shared" si="8"/>
        <v>9</v>
      </c>
      <c r="E76" s="11" t="s">
        <v>244</v>
      </c>
      <c r="F76" t="s">
        <v>379</v>
      </c>
    </row>
    <row r="77" spans="1:6" ht="12.75">
      <c r="A77" s="10"/>
      <c r="B77" s="6">
        <f t="shared" si="7"/>
        <v>32</v>
      </c>
      <c r="C77" s="6"/>
      <c r="D77" s="6">
        <f t="shared" si="8"/>
        <v>10</v>
      </c>
      <c r="E77" s="11" t="s">
        <v>245</v>
      </c>
      <c r="F77" t="s">
        <v>380</v>
      </c>
    </row>
    <row r="78" spans="1:6" ht="12.75">
      <c r="A78" s="10"/>
      <c r="B78" s="6">
        <f t="shared" si="7"/>
        <v>35</v>
      </c>
      <c r="C78" s="6"/>
      <c r="D78" s="6">
        <f t="shared" si="8"/>
        <v>11</v>
      </c>
      <c r="E78" s="11" t="s">
        <v>246</v>
      </c>
      <c r="F78" t="s">
        <v>381</v>
      </c>
    </row>
    <row r="79" spans="1:6" ht="12.75">
      <c r="A79" s="10"/>
      <c r="B79" s="6">
        <f t="shared" si="7"/>
        <v>39</v>
      </c>
      <c r="C79" s="6"/>
      <c r="D79" s="6">
        <f t="shared" si="8"/>
        <v>12</v>
      </c>
      <c r="E79" s="11" t="s">
        <v>247</v>
      </c>
      <c r="F79" t="s">
        <v>396</v>
      </c>
    </row>
    <row r="80" spans="1:6" ht="12.75">
      <c r="A80" s="10"/>
      <c r="B80" s="6">
        <f t="shared" si="7"/>
        <v>42</v>
      </c>
      <c r="C80" s="6"/>
      <c r="D80" s="6">
        <f t="shared" si="8"/>
        <v>13</v>
      </c>
      <c r="E80" s="11" t="s">
        <v>248</v>
      </c>
      <c r="F80" t="s">
        <v>394</v>
      </c>
    </row>
    <row r="81" spans="1:6" ht="12.75">
      <c r="A81" s="10"/>
      <c r="B81" s="6">
        <f t="shared" si="7"/>
        <v>45</v>
      </c>
      <c r="C81" s="6"/>
      <c r="D81" s="6">
        <f t="shared" si="8"/>
        <v>14</v>
      </c>
      <c r="E81" s="11" t="s">
        <v>249</v>
      </c>
      <c r="F81" t="s">
        <v>394</v>
      </c>
    </row>
    <row r="82" spans="1:6" ht="12.75">
      <c r="A82" s="10"/>
      <c r="B82" s="6">
        <f t="shared" si="7"/>
        <v>49</v>
      </c>
      <c r="C82" s="6"/>
      <c r="D82" s="6">
        <f t="shared" si="8"/>
        <v>15</v>
      </c>
      <c r="E82" s="11" t="s">
        <v>250</v>
      </c>
      <c r="F82" t="s">
        <v>394</v>
      </c>
    </row>
    <row r="83" spans="1:6" ht="12.75">
      <c r="A83" s="10"/>
      <c r="B83" s="6">
        <f t="shared" si="7"/>
        <v>52</v>
      </c>
      <c r="C83" s="6"/>
      <c r="D83" s="6">
        <f t="shared" si="8"/>
        <v>16</v>
      </c>
      <c r="E83" s="11" t="s">
        <v>251</v>
      </c>
      <c r="F83" t="s">
        <v>394</v>
      </c>
    </row>
    <row r="84" spans="1:6" ht="12.75">
      <c r="A84" s="10"/>
      <c r="B84" s="6">
        <f t="shared" si="7"/>
        <v>56</v>
      </c>
      <c r="C84" s="6"/>
      <c r="D84" s="6">
        <f t="shared" si="8"/>
        <v>17</v>
      </c>
      <c r="E84" s="11" t="s">
        <v>252</v>
      </c>
      <c r="F84" t="s">
        <v>394</v>
      </c>
    </row>
    <row r="85" spans="1:6" ht="12.75">
      <c r="A85" s="10"/>
      <c r="B85" s="6">
        <f t="shared" si="7"/>
        <v>59</v>
      </c>
      <c r="C85" s="6"/>
      <c r="D85" s="6">
        <f t="shared" si="8"/>
        <v>18</v>
      </c>
      <c r="E85" s="11" t="s">
        <v>253</v>
      </c>
      <c r="F85" t="s">
        <v>394</v>
      </c>
    </row>
    <row r="86" spans="1:6" ht="12.75">
      <c r="A86" s="10"/>
      <c r="B86" s="6">
        <f t="shared" si="7"/>
        <v>62</v>
      </c>
      <c r="C86" s="6"/>
      <c r="D86" s="6">
        <f t="shared" si="8"/>
        <v>19</v>
      </c>
      <c r="E86" s="11" t="s">
        <v>254</v>
      </c>
      <c r="F86" t="s">
        <v>394</v>
      </c>
    </row>
    <row r="87" spans="1:6" ht="12.75">
      <c r="A87" s="10"/>
      <c r="B87" s="6">
        <f t="shared" si="7"/>
        <v>66</v>
      </c>
      <c r="C87" s="6"/>
      <c r="D87" s="6">
        <f t="shared" si="8"/>
        <v>20</v>
      </c>
      <c r="E87" s="11" t="s">
        <v>255</v>
      </c>
      <c r="F87" t="s">
        <v>394</v>
      </c>
    </row>
    <row r="88" spans="1:6" ht="12.75">
      <c r="A88" s="10"/>
      <c r="B88" s="6">
        <f t="shared" si="7"/>
        <v>69</v>
      </c>
      <c r="C88" s="6"/>
      <c r="D88" s="6">
        <f t="shared" si="8"/>
        <v>21</v>
      </c>
      <c r="E88" s="11" t="s">
        <v>230</v>
      </c>
      <c r="F88" t="s">
        <v>382</v>
      </c>
    </row>
    <row r="89" spans="1:6" ht="12.75">
      <c r="A89" s="10"/>
      <c r="B89" s="6">
        <f t="shared" si="7"/>
        <v>73</v>
      </c>
      <c r="C89" s="6"/>
      <c r="D89" s="6">
        <f t="shared" si="8"/>
        <v>22</v>
      </c>
      <c r="E89" s="11" t="s">
        <v>231</v>
      </c>
      <c r="F89" t="s">
        <v>383</v>
      </c>
    </row>
    <row r="90" spans="1:6" ht="12.75">
      <c r="A90" s="10"/>
      <c r="B90" s="6">
        <f t="shared" si="7"/>
        <v>76</v>
      </c>
      <c r="C90" s="6"/>
      <c r="D90" s="6">
        <f t="shared" si="8"/>
        <v>23</v>
      </c>
      <c r="E90" s="11" t="s">
        <v>232</v>
      </c>
      <c r="F90" t="s">
        <v>384</v>
      </c>
    </row>
    <row r="91" spans="1:6" ht="12.75">
      <c r="A91" s="10"/>
      <c r="B91" s="6">
        <f t="shared" si="7"/>
        <v>80</v>
      </c>
      <c r="C91" s="6"/>
      <c r="D91" s="6">
        <f t="shared" si="8"/>
        <v>24</v>
      </c>
      <c r="E91" s="11" t="s">
        <v>233</v>
      </c>
      <c r="F91" t="s">
        <v>388</v>
      </c>
    </row>
    <row r="92" spans="1:6" ht="12.75">
      <c r="A92" s="10"/>
      <c r="B92" s="6">
        <f t="shared" si="7"/>
        <v>83</v>
      </c>
      <c r="C92" s="6"/>
      <c r="D92" s="6">
        <f t="shared" si="8"/>
        <v>25</v>
      </c>
      <c r="E92" s="11" t="s">
        <v>234</v>
      </c>
      <c r="F92" t="s">
        <v>389</v>
      </c>
    </row>
    <row r="93" spans="1:6" ht="12.75">
      <c r="A93" s="10"/>
      <c r="B93" s="6">
        <f t="shared" si="7"/>
        <v>86</v>
      </c>
      <c r="C93" s="6"/>
      <c r="D93" s="6">
        <f t="shared" si="8"/>
        <v>26</v>
      </c>
      <c r="E93" s="11" t="s">
        <v>235</v>
      </c>
      <c r="F93" t="s">
        <v>390</v>
      </c>
    </row>
    <row r="94" spans="1:6" ht="12.75">
      <c r="A94" s="10"/>
      <c r="B94" s="6">
        <f t="shared" si="7"/>
        <v>90</v>
      </c>
      <c r="C94" s="6"/>
      <c r="D94" s="6">
        <f t="shared" si="8"/>
        <v>27</v>
      </c>
      <c r="E94" s="11" t="s">
        <v>391</v>
      </c>
      <c r="F94" t="s">
        <v>392</v>
      </c>
    </row>
    <row r="95" spans="1:6" ht="12.75">
      <c r="A95" s="10"/>
      <c r="B95" s="6">
        <f t="shared" si="7"/>
        <v>93</v>
      </c>
      <c r="C95" s="6"/>
      <c r="D95" s="6">
        <f t="shared" si="8"/>
        <v>28</v>
      </c>
      <c r="E95" s="11" t="s">
        <v>256</v>
      </c>
      <c r="F95" t="s">
        <v>395</v>
      </c>
    </row>
    <row r="96" spans="1:6" ht="12.75">
      <c r="A96" s="10"/>
      <c r="B96" s="6">
        <f t="shared" si="7"/>
        <v>97</v>
      </c>
      <c r="C96" s="6"/>
      <c r="D96" s="6">
        <f t="shared" si="8"/>
        <v>29</v>
      </c>
      <c r="E96" s="11" t="s">
        <v>257</v>
      </c>
      <c r="F96" t="s">
        <v>393</v>
      </c>
    </row>
    <row r="97" spans="1:5" ht="12.75">
      <c r="A97" s="10"/>
      <c r="B97" s="6"/>
      <c r="C97" s="6"/>
      <c r="D97" s="6"/>
      <c r="E97" s="11"/>
    </row>
    <row r="98" spans="1:5" ht="12.75">
      <c r="A98" s="10"/>
      <c r="B98" s="6"/>
      <c r="C98" s="6"/>
      <c r="D98" s="6"/>
      <c r="E98" s="11"/>
    </row>
    <row r="99" spans="1:5" ht="12.75">
      <c r="A99" s="10"/>
      <c r="B99" s="6"/>
      <c r="C99" s="6"/>
      <c r="D99" s="6"/>
      <c r="E99" s="11"/>
    </row>
    <row r="100" spans="1:5" ht="12.75">
      <c r="A100" s="10"/>
      <c r="B100" s="6"/>
      <c r="C100" s="6"/>
      <c r="D100" s="6"/>
      <c r="E100" s="11"/>
    </row>
    <row r="101" spans="1:5" ht="12.75">
      <c r="A101" s="10"/>
      <c r="B101" s="6"/>
      <c r="C101" s="6"/>
      <c r="D101" s="6"/>
      <c r="E101" s="11"/>
    </row>
    <row r="102" spans="1:5" ht="12.75">
      <c r="A102" s="10"/>
      <c r="B102" s="6"/>
      <c r="C102" s="6"/>
      <c r="D102" s="6"/>
      <c r="E102" s="11"/>
    </row>
    <row r="103" spans="1:5" ht="12.75">
      <c r="A103" s="10"/>
      <c r="B103" s="6"/>
      <c r="C103" s="6"/>
      <c r="D103" s="6"/>
      <c r="E103" s="11"/>
    </row>
    <row r="104" spans="1:5" ht="12.75">
      <c r="A104" s="10"/>
      <c r="B104" s="6"/>
      <c r="C104" s="6"/>
      <c r="D104" s="6"/>
      <c r="E104" s="11"/>
    </row>
    <row r="105" spans="1:5" ht="12.75">
      <c r="A105" s="10"/>
      <c r="B105" s="6"/>
      <c r="C105" s="6"/>
      <c r="D105" s="6"/>
      <c r="E105" s="11"/>
    </row>
    <row r="106" spans="1:5" ht="12.75">
      <c r="A106" s="10"/>
      <c r="B106" s="6"/>
      <c r="C106" s="6"/>
      <c r="D106" s="6"/>
      <c r="E106" s="11"/>
    </row>
    <row r="107" spans="1:5" ht="12.75">
      <c r="A107" s="10"/>
      <c r="B107" s="6"/>
      <c r="C107" s="6"/>
      <c r="D107" s="6"/>
      <c r="E107" s="11"/>
    </row>
    <row r="108" spans="1:5" ht="12.75">
      <c r="A108" s="10"/>
      <c r="B108" s="6"/>
      <c r="C108" s="6"/>
      <c r="D108" s="6"/>
      <c r="E108" s="11"/>
    </row>
    <row r="109" spans="1:5" ht="12.75">
      <c r="A109" s="10"/>
      <c r="B109" s="6"/>
      <c r="C109" s="6"/>
      <c r="D109" s="6"/>
      <c r="E109" s="11"/>
    </row>
    <row r="110" spans="1:5" ht="12.75">
      <c r="A110" s="10"/>
      <c r="B110" s="6"/>
      <c r="C110" s="6"/>
      <c r="D110" s="6"/>
      <c r="E110" s="11"/>
    </row>
    <row r="111" spans="1:5" ht="12.75">
      <c r="A111" s="10"/>
      <c r="B111" s="6"/>
      <c r="C111" s="6"/>
      <c r="D111" s="6"/>
      <c r="E111" s="11"/>
    </row>
    <row r="112" spans="1:5" ht="12.75">
      <c r="A112" s="10"/>
      <c r="B112" s="6"/>
      <c r="C112" s="6"/>
      <c r="D112" s="6"/>
      <c r="E112" s="11"/>
    </row>
    <row r="113" spans="1:5" ht="12.75">
      <c r="A113" s="10"/>
      <c r="B113" s="6"/>
      <c r="C113" s="6"/>
      <c r="D113" s="6"/>
      <c r="E113" s="11"/>
    </row>
    <row r="114" spans="1:5" ht="12.75">
      <c r="A114" s="10"/>
      <c r="B114" s="6"/>
      <c r="C114" s="6"/>
      <c r="D114" s="6"/>
      <c r="E114" s="11"/>
    </row>
    <row r="115" spans="1:5" ht="12.75">
      <c r="A115" s="10"/>
      <c r="B115" s="6"/>
      <c r="C115" s="6"/>
      <c r="D115" s="6"/>
      <c r="E115" s="11"/>
    </row>
    <row r="116" spans="1:5" ht="12.75">
      <c r="A116" s="10"/>
      <c r="B116" s="6"/>
      <c r="C116" s="6"/>
      <c r="D116" s="6"/>
      <c r="E116" s="11"/>
    </row>
    <row r="117" spans="1:5" ht="12.75">
      <c r="A117" s="10"/>
      <c r="B117" s="6"/>
      <c r="C117" s="6"/>
      <c r="D117" s="6"/>
      <c r="E117" s="11"/>
    </row>
    <row r="118" spans="1:5" ht="12.75">
      <c r="A118" s="10"/>
      <c r="B118" s="6"/>
      <c r="C118" s="6"/>
      <c r="D118" s="6"/>
      <c r="E118" s="11"/>
    </row>
    <row r="119" spans="1:5" ht="12.75">
      <c r="A119" s="10"/>
      <c r="B119" s="6"/>
      <c r="C119" s="6"/>
      <c r="D119" s="6"/>
      <c r="E119" s="11"/>
    </row>
    <row r="120" spans="1:5" ht="12.75">
      <c r="A120" s="10"/>
      <c r="B120" s="6"/>
      <c r="C120" s="6"/>
      <c r="D120" s="6"/>
      <c r="E120" s="11"/>
    </row>
    <row r="121" spans="1:5" ht="12.75">
      <c r="A121" s="10"/>
      <c r="B121" s="6"/>
      <c r="C121" s="6"/>
      <c r="D121" s="6"/>
      <c r="E121" s="11"/>
    </row>
    <row r="122" spans="1:5" ht="12.75">
      <c r="A122" s="10"/>
      <c r="B122" s="6"/>
      <c r="C122" s="6"/>
      <c r="D122" s="6"/>
      <c r="E122" s="11"/>
    </row>
    <row r="123" spans="1:5" ht="12.75">
      <c r="A123" s="10"/>
      <c r="B123" s="6"/>
      <c r="C123" s="6"/>
      <c r="D123" s="6"/>
      <c r="E123" s="11"/>
    </row>
    <row r="124" spans="1:5" ht="12.75">
      <c r="A124" s="10"/>
      <c r="B124" s="6"/>
      <c r="C124" s="6"/>
      <c r="D124" s="6"/>
      <c r="E124" s="11"/>
    </row>
    <row r="125" spans="1:5" ht="12.75">
      <c r="A125" s="10"/>
      <c r="B125" s="6"/>
      <c r="C125" s="6"/>
      <c r="D125" s="6"/>
      <c r="E125" s="11"/>
    </row>
    <row r="126" spans="1:5" ht="12.75">
      <c r="A126" s="10"/>
      <c r="B126" s="6"/>
      <c r="C126" s="6"/>
      <c r="D126" s="6"/>
      <c r="E126" s="11"/>
    </row>
    <row r="127" spans="1:5" ht="12.75">
      <c r="A127" s="10"/>
      <c r="B127" s="6"/>
      <c r="C127" s="6"/>
      <c r="D127" s="6"/>
      <c r="E127" s="11"/>
    </row>
    <row r="128" spans="1:5" ht="12.75">
      <c r="A128" s="10"/>
      <c r="B128" s="6"/>
      <c r="C128" s="6"/>
      <c r="D128" s="6"/>
      <c r="E128" s="11"/>
    </row>
    <row r="129" spans="1:5" ht="12.75">
      <c r="A129" s="10"/>
      <c r="B129" s="6"/>
      <c r="C129" s="6"/>
      <c r="D129" s="6"/>
      <c r="E129" s="11"/>
    </row>
    <row r="130" spans="1:5" ht="12.75">
      <c r="A130" s="10"/>
      <c r="B130" s="6"/>
      <c r="C130" s="6"/>
      <c r="D130" s="6"/>
      <c r="E130" s="11"/>
    </row>
    <row r="131" spans="1:5" ht="12.75">
      <c r="A131" s="10"/>
      <c r="B131" s="6"/>
      <c r="C131" s="6"/>
      <c r="D131" s="6"/>
      <c r="E131" s="11"/>
    </row>
    <row r="132" spans="1:5" ht="12.75">
      <c r="A132" s="10"/>
      <c r="B132" s="6"/>
      <c r="C132" s="6"/>
      <c r="D132" s="6"/>
      <c r="E132" s="11"/>
    </row>
    <row r="133" spans="1:5" ht="12.75">
      <c r="A133" s="10"/>
      <c r="B133" s="6"/>
      <c r="C133" s="6"/>
      <c r="D133" s="6"/>
      <c r="E133" s="11"/>
    </row>
    <row r="134" spans="1:5" ht="12.75">
      <c r="A134" s="10"/>
      <c r="B134" s="6"/>
      <c r="C134" s="6"/>
      <c r="D134" s="6"/>
      <c r="E134" s="11"/>
    </row>
    <row r="135" spans="1:5" ht="12.75">
      <c r="A135" s="10"/>
      <c r="B135" s="6"/>
      <c r="C135" s="6"/>
      <c r="D135" s="6"/>
      <c r="E135" s="11"/>
    </row>
    <row r="136" spans="1:5" ht="12.75">
      <c r="A136" s="10"/>
      <c r="B136" s="6"/>
      <c r="C136" s="6"/>
      <c r="D136" s="6"/>
      <c r="E136" s="11"/>
    </row>
    <row r="137" spans="1:5" ht="12.75">
      <c r="A137" s="10"/>
      <c r="B137" s="6"/>
      <c r="C137" s="6"/>
      <c r="D137" s="6"/>
      <c r="E137" s="11"/>
    </row>
    <row r="138" spans="1:5" ht="12.75">
      <c r="A138" s="10"/>
      <c r="B138" s="6"/>
      <c r="C138" s="6"/>
      <c r="D138" s="6"/>
      <c r="E138" s="11"/>
    </row>
    <row r="139" spans="1:5" ht="12.75">
      <c r="A139" s="10"/>
      <c r="B139" s="6"/>
      <c r="C139" s="6"/>
      <c r="D139" s="6"/>
      <c r="E139" s="11"/>
    </row>
    <row r="140" spans="1:5" ht="12.75">
      <c r="A140" s="10"/>
      <c r="B140" s="6"/>
      <c r="C140" s="6"/>
      <c r="D140" s="6"/>
      <c r="E140" s="11"/>
    </row>
    <row r="141" spans="1:5" ht="12.75">
      <c r="A141" s="10"/>
      <c r="B141" s="6"/>
      <c r="C141" s="6"/>
      <c r="D141" s="6"/>
      <c r="E141" s="11"/>
    </row>
    <row r="142" spans="1:5" ht="12.75">
      <c r="A142" s="10"/>
      <c r="B142" s="6"/>
      <c r="C142" s="6"/>
      <c r="D142" s="6"/>
      <c r="E142" s="11"/>
    </row>
    <row r="143" spans="1:5" ht="12.75">
      <c r="A143" s="10"/>
      <c r="B143" s="6"/>
      <c r="C143" s="6"/>
      <c r="D143" s="6"/>
      <c r="E143" s="11"/>
    </row>
    <row r="144" spans="1:5" ht="12.75">
      <c r="A144" s="10"/>
      <c r="B144" s="6"/>
      <c r="C144" s="6"/>
      <c r="D144" s="6"/>
      <c r="E144" s="11"/>
    </row>
    <row r="145" spans="1:5" ht="12.75">
      <c r="A145" s="10"/>
      <c r="B145" s="6"/>
      <c r="C145" s="6"/>
      <c r="D145" s="6"/>
      <c r="E145" s="11"/>
    </row>
    <row r="146" spans="1:5" ht="12.75">
      <c r="A146" s="10"/>
      <c r="B146" s="6"/>
      <c r="C146" s="6"/>
      <c r="D146" s="6"/>
      <c r="E146" s="11"/>
    </row>
    <row r="147" spans="1:5" ht="12.75">
      <c r="A147" s="10"/>
      <c r="B147" s="6"/>
      <c r="C147" s="6"/>
      <c r="D147" s="6"/>
      <c r="E147" s="11"/>
    </row>
    <row r="148" spans="1:5" ht="12.75">
      <c r="A148" s="10"/>
      <c r="B148" s="6"/>
      <c r="C148" s="6"/>
      <c r="D148" s="6"/>
      <c r="E148" s="11"/>
    </row>
    <row r="149" spans="1:5" ht="12.75">
      <c r="A149" s="10"/>
      <c r="B149" s="6"/>
      <c r="C149" s="6"/>
      <c r="D149" s="6"/>
      <c r="E149" s="11"/>
    </row>
    <row r="150" spans="1:5" ht="12.75">
      <c r="A150" s="10"/>
      <c r="B150" s="6"/>
      <c r="C150" s="6"/>
      <c r="D150" s="6"/>
      <c r="E150" s="11"/>
    </row>
    <row r="151" spans="1:5" ht="12.75">
      <c r="A151" s="10"/>
      <c r="B151" s="6"/>
      <c r="C151" s="6"/>
      <c r="D151" s="6"/>
      <c r="E151" s="11"/>
    </row>
    <row r="152" spans="1:5" ht="12.75">
      <c r="A152" s="10"/>
      <c r="B152" s="6"/>
      <c r="C152" s="6"/>
      <c r="D152" s="6"/>
      <c r="E152" s="11"/>
    </row>
    <row r="153" spans="1:5" ht="12.75">
      <c r="A153" s="10"/>
      <c r="B153" s="6"/>
      <c r="C153" s="6"/>
      <c r="D153" s="6"/>
      <c r="E153" s="11"/>
    </row>
    <row r="154" spans="1:5" ht="12.75">
      <c r="A154" s="10"/>
      <c r="B154" s="6"/>
      <c r="C154" s="6"/>
      <c r="D154" s="6"/>
      <c r="E154" s="11"/>
    </row>
    <row r="155" spans="1:5" ht="12.75">
      <c r="A155" s="10"/>
      <c r="B155" s="6"/>
      <c r="C155" s="6"/>
      <c r="D155" s="6"/>
      <c r="E155" s="11"/>
    </row>
    <row r="156" spans="1:5" ht="12.75">
      <c r="A156" s="15"/>
      <c r="B156" s="20"/>
      <c r="C156" s="6"/>
      <c r="D156" s="6"/>
      <c r="E156" s="16"/>
    </row>
    <row r="157" spans="1:5" ht="12.75">
      <c r="A157" s="15"/>
      <c r="B157" s="6"/>
      <c r="C157" s="6"/>
      <c r="D157" s="6"/>
      <c r="E157" s="16"/>
    </row>
    <row r="158" spans="1:5" ht="12.75">
      <c r="A158" s="15"/>
      <c r="B158" s="6"/>
      <c r="C158" s="6"/>
      <c r="D158" s="6"/>
      <c r="E158" s="16"/>
    </row>
    <row r="159" spans="1:5" ht="12.75">
      <c r="A159" s="15"/>
      <c r="B159" s="6"/>
      <c r="C159" s="6"/>
      <c r="D159" s="6"/>
      <c r="E159" s="16"/>
    </row>
    <row r="160" spans="1:5" ht="12.75">
      <c r="A160" s="15"/>
      <c r="B160" s="6"/>
      <c r="C160" s="6"/>
      <c r="D160" s="6"/>
      <c r="E160" s="16"/>
    </row>
    <row r="161" spans="1:5" ht="12.75">
      <c r="A161" s="15"/>
      <c r="B161" s="6"/>
      <c r="C161" s="6"/>
      <c r="D161" s="6"/>
      <c r="E161" s="16"/>
    </row>
    <row r="162" spans="1:5" ht="12.75">
      <c r="A162" s="15"/>
      <c r="B162" s="6"/>
      <c r="C162" s="6"/>
      <c r="D162" s="6"/>
      <c r="E162" s="16"/>
    </row>
    <row r="163" spans="1:5" ht="12.75">
      <c r="A163" s="15"/>
      <c r="B163" s="6"/>
      <c r="C163" s="6"/>
      <c r="D163" s="6"/>
      <c r="E163" s="16"/>
    </row>
    <row r="164" spans="1:5" ht="12.75">
      <c r="A164" s="15"/>
      <c r="B164" s="6"/>
      <c r="C164" s="6"/>
      <c r="D164" s="6"/>
      <c r="E164" s="16"/>
    </row>
    <row r="165" spans="1:5" ht="12.75">
      <c r="A165" s="15"/>
      <c r="B165" s="6"/>
      <c r="C165" s="6"/>
      <c r="D165" s="6"/>
      <c r="E165" s="16"/>
    </row>
    <row r="166" spans="1:5" ht="12.75">
      <c r="A166" s="15"/>
      <c r="B166" s="6"/>
      <c r="C166" s="6"/>
      <c r="D166" s="6"/>
      <c r="E166" s="16"/>
    </row>
    <row r="167" spans="1:5" ht="12.75">
      <c r="A167" s="15"/>
      <c r="B167" s="6"/>
      <c r="C167" s="6"/>
      <c r="D167" s="6"/>
      <c r="E167" s="16"/>
    </row>
    <row r="168" spans="1:5" ht="12.75">
      <c r="A168" s="15"/>
      <c r="B168" s="6"/>
      <c r="C168" s="6"/>
      <c r="D168" s="6"/>
      <c r="E168" s="16"/>
    </row>
    <row r="169" spans="1:5" ht="12.75">
      <c r="A169" s="15"/>
      <c r="B169" s="6"/>
      <c r="C169" s="6"/>
      <c r="D169" s="6"/>
      <c r="E169" s="16"/>
    </row>
    <row r="170" spans="1:5" ht="12.75">
      <c r="A170" s="15"/>
      <c r="B170" s="6"/>
      <c r="C170" s="6"/>
      <c r="D170" s="6"/>
      <c r="E170" s="16"/>
    </row>
    <row r="171" spans="1:5" ht="12.75">
      <c r="A171" s="15"/>
      <c r="B171" s="6"/>
      <c r="C171" s="6"/>
      <c r="D171" s="6"/>
      <c r="E171" s="16"/>
    </row>
    <row r="172" spans="1:5" ht="12.75">
      <c r="A172" s="15"/>
      <c r="B172" s="6"/>
      <c r="C172" s="6"/>
      <c r="D172" s="6"/>
      <c r="E172" s="16"/>
    </row>
    <row r="173" spans="1:5" ht="12.75">
      <c r="A173" s="15"/>
      <c r="B173" s="20"/>
      <c r="C173" s="20"/>
      <c r="D173" s="6"/>
      <c r="E173" s="16"/>
    </row>
    <row r="174" spans="1:5" ht="12.75">
      <c r="A174" s="15"/>
      <c r="B174" s="6"/>
      <c r="C174" s="6"/>
      <c r="D174" s="6"/>
      <c r="E174" s="16"/>
    </row>
    <row r="175" spans="1:5" ht="12.75">
      <c r="A175" s="15"/>
      <c r="B175" s="6"/>
      <c r="C175" s="6"/>
      <c r="D175" s="6"/>
      <c r="E175" s="16"/>
    </row>
    <row r="176" spans="1:5" ht="12.75">
      <c r="A176" s="15"/>
      <c r="B176" s="6"/>
      <c r="C176" s="6"/>
      <c r="D176" s="6"/>
      <c r="E176" s="16"/>
    </row>
    <row r="177" spans="1:5" ht="12.75">
      <c r="A177" s="15"/>
      <c r="B177" s="6"/>
      <c r="C177" s="6"/>
      <c r="D177" s="6"/>
      <c r="E177" s="16"/>
    </row>
    <row r="178" spans="1:5" ht="12.75">
      <c r="A178" s="15"/>
      <c r="B178" s="6"/>
      <c r="C178" s="6"/>
      <c r="D178" s="6"/>
      <c r="E178" s="16"/>
    </row>
    <row r="179" spans="1:5" ht="12.75">
      <c r="A179" s="15"/>
      <c r="B179" s="6"/>
      <c r="C179" s="6"/>
      <c r="D179" s="6"/>
      <c r="E179" s="16"/>
    </row>
    <row r="180" spans="1:5" ht="12.75">
      <c r="A180" s="15"/>
      <c r="B180" s="6"/>
      <c r="C180" s="6"/>
      <c r="D180" s="6"/>
      <c r="E180" s="16"/>
    </row>
    <row r="181" spans="1:5" ht="12.75">
      <c r="A181" s="15"/>
      <c r="B181" s="6"/>
      <c r="C181" s="6"/>
      <c r="D181" s="6"/>
      <c r="E181" s="16"/>
    </row>
    <row r="182" spans="1:5" ht="12.75">
      <c r="A182" s="15"/>
      <c r="B182" s="6"/>
      <c r="C182" s="6"/>
      <c r="D182" s="6"/>
      <c r="E182" s="16"/>
    </row>
    <row r="183" spans="1:5" ht="12.75">
      <c r="A183" s="15"/>
      <c r="B183" s="6"/>
      <c r="C183" s="6"/>
      <c r="D183" s="6"/>
      <c r="E183" s="16"/>
    </row>
    <row r="184" spans="1:5" ht="12.75">
      <c r="A184" s="15"/>
      <c r="B184" s="6"/>
      <c r="C184" s="6"/>
      <c r="D184" s="6"/>
      <c r="E184" s="16"/>
    </row>
    <row r="185" spans="1:5" ht="12.75">
      <c r="A185" s="15"/>
      <c r="B185" s="6"/>
      <c r="C185" s="6"/>
      <c r="D185" s="6"/>
      <c r="E185" s="16"/>
    </row>
    <row r="186" spans="1:5" ht="12.75">
      <c r="A186" s="15"/>
      <c r="B186" s="6"/>
      <c r="C186" s="6"/>
      <c r="D186" s="6"/>
      <c r="E186" s="16"/>
    </row>
    <row r="187" spans="1:5" ht="12.75">
      <c r="A187" s="15"/>
      <c r="B187" s="6"/>
      <c r="C187" s="6"/>
      <c r="D187" s="6"/>
      <c r="E187" s="16"/>
    </row>
    <row r="188" spans="1:5" ht="12.75">
      <c r="A188" s="15"/>
      <c r="B188" s="6"/>
      <c r="C188" s="6"/>
      <c r="D188" s="6"/>
      <c r="E188" s="16"/>
    </row>
    <row r="189" spans="1:5" ht="12.75">
      <c r="A189" s="15"/>
      <c r="B189" s="6"/>
      <c r="C189" s="6"/>
      <c r="D189" s="6"/>
      <c r="E189" s="16"/>
    </row>
    <row r="190" spans="1:5" ht="12.75">
      <c r="A190" s="15"/>
      <c r="B190" s="6"/>
      <c r="C190" s="6"/>
      <c r="D190" s="6"/>
      <c r="E190" s="16"/>
    </row>
    <row r="191" spans="1:5" ht="12.75">
      <c r="A191" s="15"/>
      <c r="B191" s="6"/>
      <c r="C191" s="6"/>
      <c r="D191" s="6"/>
      <c r="E191" s="16"/>
    </row>
    <row r="192" spans="1:5" ht="12.75">
      <c r="A192" s="15"/>
      <c r="B192" s="6"/>
      <c r="C192" s="6"/>
      <c r="D192" s="6"/>
      <c r="E192" s="16"/>
    </row>
    <row r="193" spans="1:5" ht="12.75">
      <c r="A193" s="15"/>
      <c r="B193" s="6"/>
      <c r="C193" s="6"/>
      <c r="D193" s="6"/>
      <c r="E193" s="16"/>
    </row>
    <row r="194" spans="1:5" ht="12.75">
      <c r="A194" s="15"/>
      <c r="B194" s="6"/>
      <c r="C194" s="6"/>
      <c r="D194" s="6"/>
      <c r="E194" s="16"/>
    </row>
    <row r="195" spans="1:5" ht="12.75">
      <c r="A195" s="15"/>
      <c r="B195" s="6"/>
      <c r="C195" s="6"/>
      <c r="D195" s="6"/>
      <c r="E195" s="16"/>
    </row>
    <row r="196" spans="1:5" ht="12.75">
      <c r="A196" s="15"/>
      <c r="B196" s="6"/>
      <c r="C196" s="6"/>
      <c r="D196" s="6"/>
      <c r="E196" s="16"/>
    </row>
    <row r="197" spans="1:5" ht="12.75">
      <c r="A197" s="15"/>
      <c r="B197" s="6"/>
      <c r="C197" s="6"/>
      <c r="D197" s="6"/>
      <c r="E197" s="16"/>
    </row>
    <row r="198" spans="1:5" ht="12.75">
      <c r="A198" s="15"/>
      <c r="B198" s="6"/>
      <c r="C198" s="6"/>
      <c r="D198" s="6"/>
      <c r="E198" s="16"/>
    </row>
    <row r="199" spans="1:5" ht="12.75">
      <c r="A199" s="15"/>
      <c r="B199" s="6"/>
      <c r="C199" s="6"/>
      <c r="D199" s="6"/>
      <c r="E199" s="16"/>
    </row>
    <row r="200" spans="1:5" ht="12.75">
      <c r="A200" s="15"/>
      <c r="B200" s="6"/>
      <c r="C200" s="6"/>
      <c r="D200" s="6"/>
      <c r="E200" s="16"/>
    </row>
    <row r="201" spans="1:5" ht="12.75">
      <c r="A201" s="15"/>
      <c r="B201" s="6"/>
      <c r="C201" s="6"/>
      <c r="D201" s="6"/>
      <c r="E201" s="16"/>
    </row>
    <row r="202" spans="1:5" ht="12.75">
      <c r="A202" s="15"/>
      <c r="B202" s="6"/>
      <c r="C202" s="6"/>
      <c r="D202" s="6"/>
      <c r="E202" s="16"/>
    </row>
    <row r="203" spans="1:5" ht="12.75">
      <c r="A203" s="15"/>
      <c r="B203" s="6"/>
      <c r="C203" s="6"/>
      <c r="D203" s="6"/>
      <c r="E203" s="16"/>
    </row>
    <row r="204" spans="1:5" ht="12.75">
      <c r="A204" s="15"/>
      <c r="B204" s="6"/>
      <c r="C204" s="6"/>
      <c r="D204" s="6"/>
      <c r="E204" s="16"/>
    </row>
    <row r="205" spans="1:5" ht="12.75">
      <c r="A205" s="15"/>
      <c r="B205" s="6"/>
      <c r="C205" s="6"/>
      <c r="D205" s="6"/>
      <c r="E205" s="16"/>
    </row>
    <row r="206" spans="1:5" ht="12.75">
      <c r="A206" s="15"/>
      <c r="B206" s="6"/>
      <c r="C206" s="6"/>
      <c r="D206" s="6"/>
      <c r="E206" s="16"/>
    </row>
    <row r="207" spans="1:5" ht="12.75">
      <c r="A207" s="15"/>
      <c r="B207" s="6"/>
      <c r="C207" s="6"/>
      <c r="D207" s="6"/>
      <c r="E207" s="16"/>
    </row>
    <row r="208" spans="1:5" ht="12.75">
      <c r="A208" s="15"/>
      <c r="B208" s="6"/>
      <c r="C208" s="6"/>
      <c r="D208" s="6"/>
      <c r="E208" s="16"/>
    </row>
    <row r="209" spans="1:5" ht="12.75">
      <c r="A209" s="15"/>
      <c r="B209" s="6"/>
      <c r="C209" s="6"/>
      <c r="D209" s="6"/>
      <c r="E209" s="16"/>
    </row>
    <row r="210" spans="1:5" ht="12.75">
      <c r="A210" s="15"/>
      <c r="B210" s="6"/>
      <c r="C210" s="6"/>
      <c r="D210" s="6"/>
      <c r="E210" s="16"/>
    </row>
    <row r="211" spans="1:5" ht="12.75">
      <c r="A211" s="15"/>
      <c r="B211" s="6"/>
      <c r="C211" s="6"/>
      <c r="D211" s="6"/>
      <c r="E211" s="16"/>
    </row>
    <row r="212" spans="1:5" ht="12.75">
      <c r="A212" s="15"/>
      <c r="B212" s="6"/>
      <c r="C212" s="6"/>
      <c r="D212" s="6"/>
      <c r="E212" s="16"/>
    </row>
    <row r="213" spans="1:5" ht="12.75">
      <c r="A213" s="15"/>
      <c r="B213" s="6"/>
      <c r="C213" s="6"/>
      <c r="D213" s="6"/>
      <c r="E213" s="16"/>
    </row>
    <row r="214" spans="1:5" ht="12.75">
      <c r="A214" s="15"/>
      <c r="B214" s="6"/>
      <c r="C214" s="6"/>
      <c r="D214" s="6"/>
      <c r="E214" s="16"/>
    </row>
    <row r="215" spans="1:5" ht="12.75">
      <c r="A215" s="15"/>
      <c r="B215" s="6"/>
      <c r="C215" s="6"/>
      <c r="D215" s="6"/>
      <c r="E215" s="16"/>
    </row>
    <row r="216" spans="1:5" ht="12.75">
      <c r="A216" s="15"/>
      <c r="B216" s="6"/>
      <c r="C216" s="6"/>
      <c r="D216" s="6"/>
      <c r="E216" s="16"/>
    </row>
    <row r="217" spans="1:5" ht="12.75">
      <c r="A217" s="15"/>
      <c r="B217" s="6"/>
      <c r="C217" s="6"/>
      <c r="D217" s="6"/>
      <c r="E217" s="16"/>
    </row>
    <row r="218" spans="1:5" ht="12.75">
      <c r="A218" s="15"/>
      <c r="B218" s="6"/>
      <c r="C218" s="6"/>
      <c r="D218" s="6"/>
      <c r="E218" s="16"/>
    </row>
    <row r="219" spans="1:5" ht="12.75">
      <c r="A219" s="15"/>
      <c r="B219" s="6"/>
      <c r="C219" s="6"/>
      <c r="D219" s="6"/>
      <c r="E219" s="16"/>
    </row>
    <row r="220" spans="1:5" ht="12.75">
      <c r="A220" s="15"/>
      <c r="B220" s="6"/>
      <c r="C220" s="6"/>
      <c r="D220" s="6"/>
      <c r="E220" s="16"/>
    </row>
    <row r="221" spans="1:5" ht="12.75">
      <c r="A221" s="15"/>
      <c r="B221" s="6"/>
      <c r="C221" s="6"/>
      <c r="D221" s="6"/>
      <c r="E221" s="16"/>
    </row>
    <row r="222" spans="1:5" ht="12.75">
      <c r="A222" s="15"/>
      <c r="B222" s="6"/>
      <c r="C222" s="6"/>
      <c r="D222" s="6"/>
      <c r="E222" s="16"/>
    </row>
    <row r="223" spans="1:5" ht="12.75">
      <c r="A223" s="15"/>
      <c r="B223" s="6"/>
      <c r="C223" s="6"/>
      <c r="D223" s="6"/>
      <c r="E223" s="16"/>
    </row>
    <row r="224" spans="1:5" ht="12.75">
      <c r="A224" s="15"/>
      <c r="B224" s="6"/>
      <c r="C224" s="6"/>
      <c r="D224" s="6"/>
      <c r="E224" s="16"/>
    </row>
    <row r="225" spans="1:5" ht="12.75">
      <c r="A225" s="15"/>
      <c r="B225" s="6"/>
      <c r="C225" s="6"/>
      <c r="D225" s="6"/>
      <c r="E225" s="16"/>
    </row>
    <row r="226" spans="1:5" ht="12.75">
      <c r="A226" s="15"/>
      <c r="B226" s="6"/>
      <c r="C226" s="6"/>
      <c r="D226" s="6"/>
      <c r="E226" s="16"/>
    </row>
    <row r="227" spans="1:5" ht="12.75">
      <c r="A227" s="15"/>
      <c r="B227" s="6"/>
      <c r="C227" s="6"/>
      <c r="D227" s="6"/>
      <c r="E227" s="16"/>
    </row>
    <row r="228" spans="1:5" ht="12.75">
      <c r="A228" s="15"/>
      <c r="B228" s="6"/>
      <c r="C228" s="6"/>
      <c r="D228" s="6"/>
      <c r="E228" s="16"/>
    </row>
    <row r="229" spans="1:5" ht="12.75">
      <c r="A229" s="15"/>
      <c r="B229" s="6"/>
      <c r="C229" s="6"/>
      <c r="D229" s="6"/>
      <c r="E229" s="16"/>
    </row>
    <row r="230" spans="1:5" ht="12.75">
      <c r="A230" s="15"/>
      <c r="B230" s="6"/>
      <c r="C230" s="6"/>
      <c r="D230" s="6"/>
      <c r="E230" s="16"/>
    </row>
    <row r="231" spans="1:5" ht="12.75">
      <c r="A231" s="15"/>
      <c r="B231" s="6"/>
      <c r="C231" s="6"/>
      <c r="D231" s="6"/>
      <c r="E231" s="16"/>
    </row>
    <row r="232" spans="1:5" ht="12.75">
      <c r="A232" s="15"/>
      <c r="B232" s="6"/>
      <c r="C232" s="6"/>
      <c r="D232" s="6"/>
      <c r="E232" s="16"/>
    </row>
    <row r="233" spans="1:5" ht="12.75">
      <c r="A233" s="15"/>
      <c r="B233" s="6"/>
      <c r="C233" s="6"/>
      <c r="D233" s="6"/>
      <c r="E233" s="16"/>
    </row>
    <row r="234" spans="1:5" ht="12.75">
      <c r="A234" s="15"/>
      <c r="B234" s="6"/>
      <c r="C234" s="6"/>
      <c r="D234" s="6"/>
      <c r="E234" s="16"/>
    </row>
    <row r="235" spans="1:5" ht="12.75">
      <c r="A235" s="15"/>
      <c r="B235" s="6"/>
      <c r="C235" s="6"/>
      <c r="D235" s="6"/>
      <c r="E235" s="16"/>
    </row>
    <row r="236" spans="1:5" ht="12.75">
      <c r="A236" s="15"/>
      <c r="B236" s="6"/>
      <c r="C236" s="6"/>
      <c r="D236" s="6"/>
      <c r="E236" s="16"/>
    </row>
    <row r="237" spans="1:5" ht="12.75">
      <c r="A237" s="15"/>
      <c r="B237" s="6"/>
      <c r="C237" s="6"/>
      <c r="D237" s="6"/>
      <c r="E237" s="16"/>
    </row>
    <row r="238" spans="1:5" ht="12.75">
      <c r="A238" s="15"/>
      <c r="B238" s="6"/>
      <c r="C238" s="6"/>
      <c r="D238" s="6"/>
      <c r="E238" s="16"/>
    </row>
    <row r="239" spans="1:5" ht="12.75">
      <c r="A239" s="15"/>
      <c r="B239" s="6"/>
      <c r="C239" s="6"/>
      <c r="D239" s="6"/>
      <c r="E239" s="16"/>
    </row>
    <row r="240" spans="1:5" ht="12.75">
      <c r="A240" s="15"/>
      <c r="B240" s="6"/>
      <c r="C240" s="6"/>
      <c r="D240" s="6"/>
      <c r="E240" s="16"/>
    </row>
    <row r="241" spans="1:5" ht="12.75">
      <c r="A241" s="15"/>
      <c r="B241" s="6"/>
      <c r="C241" s="6"/>
      <c r="D241" s="6"/>
      <c r="E241" s="16"/>
    </row>
    <row r="242" spans="1:5" ht="12.75">
      <c r="A242" s="15"/>
      <c r="B242" s="20"/>
      <c r="C242" s="6"/>
      <c r="D242" s="6"/>
      <c r="E242" s="16"/>
    </row>
    <row r="243" spans="1:5" ht="12.75">
      <c r="A243" s="7"/>
      <c r="B243" s="6"/>
      <c r="C243" s="6"/>
      <c r="D243" s="6"/>
      <c r="E243" s="7"/>
    </row>
    <row r="244" spans="1:5" ht="12.75">
      <c r="A244" s="7"/>
      <c r="B244" s="6"/>
      <c r="C244" s="6"/>
      <c r="D244" s="6"/>
      <c r="E244" s="7"/>
    </row>
    <row r="245" spans="1:5" ht="12.75">
      <c r="A245" s="7"/>
      <c r="B245" s="6"/>
      <c r="C245" s="6"/>
      <c r="D245" s="6"/>
      <c r="E245" s="7"/>
    </row>
    <row r="246" spans="1:5" ht="12.75">
      <c r="A246" s="7"/>
      <c r="B246" s="6"/>
      <c r="C246" s="6"/>
      <c r="D246" s="6"/>
      <c r="E246" s="7"/>
    </row>
    <row r="247" spans="1:5" ht="12.75">
      <c r="A247" s="7"/>
      <c r="B247" s="6"/>
      <c r="C247" s="6"/>
      <c r="D247" s="6"/>
      <c r="E247" s="7"/>
    </row>
    <row r="248" spans="1:5" ht="12.75">
      <c r="A248" s="7"/>
      <c r="B248" s="6"/>
      <c r="C248" s="6"/>
      <c r="D248" s="6"/>
      <c r="E248" s="7"/>
    </row>
    <row r="249" spans="1:5" ht="12.75">
      <c r="A249" s="7"/>
      <c r="B249" s="6"/>
      <c r="C249" s="6"/>
      <c r="D249" s="6"/>
      <c r="E249" s="7"/>
    </row>
    <row r="250" spans="1:5" ht="12.75">
      <c r="A250" s="7"/>
      <c r="B250" s="6"/>
      <c r="C250" s="6"/>
      <c r="D250" s="6"/>
      <c r="E250" s="7"/>
    </row>
    <row r="251" spans="1:5" ht="12.75">
      <c r="A251" s="7"/>
      <c r="B251" s="6"/>
      <c r="C251" s="6"/>
      <c r="D251" s="6"/>
      <c r="E251" s="7"/>
    </row>
    <row r="252" spans="1:5" ht="12.75">
      <c r="A252" s="7"/>
      <c r="B252" s="6"/>
      <c r="C252" s="6"/>
      <c r="D252" s="6"/>
      <c r="E252" s="7"/>
    </row>
    <row r="253" spans="1:5" ht="12.75">
      <c r="A253" s="7"/>
      <c r="B253" s="6"/>
      <c r="C253" s="6"/>
      <c r="D253" s="6"/>
      <c r="E253" s="7"/>
    </row>
    <row r="254" spans="1:5" ht="12.75">
      <c r="A254" s="7"/>
      <c r="B254" s="6"/>
      <c r="C254" s="6"/>
      <c r="D254" s="6"/>
      <c r="E254" s="7"/>
    </row>
    <row r="255" spans="1:5" ht="12.75">
      <c r="A255" s="7"/>
      <c r="B255" s="6"/>
      <c r="C255" s="6"/>
      <c r="D255" s="6"/>
      <c r="E255" s="7"/>
    </row>
    <row r="256" spans="1:5" ht="12.75">
      <c r="A256" s="7"/>
      <c r="B256" s="6"/>
      <c r="C256" s="6"/>
      <c r="D256" s="6"/>
      <c r="E256" s="7"/>
    </row>
    <row r="257" spans="1:5" ht="12.75">
      <c r="A257" s="7"/>
      <c r="B257" s="6"/>
      <c r="C257" s="6"/>
      <c r="D257" s="6"/>
      <c r="E257" s="7"/>
    </row>
    <row r="258" spans="1:5" ht="12.75">
      <c r="A258" s="7"/>
      <c r="B258" s="6"/>
      <c r="C258" s="6"/>
      <c r="D258" s="6"/>
      <c r="E258" s="7"/>
    </row>
    <row r="259" spans="1:5" ht="12.75">
      <c r="A259" s="7"/>
      <c r="B259" s="6"/>
      <c r="C259" s="6"/>
      <c r="D259" s="6"/>
      <c r="E259" s="7"/>
    </row>
    <row r="260" spans="1:5" ht="12.75">
      <c r="A260" s="7"/>
      <c r="B260" s="6"/>
      <c r="C260" s="6"/>
      <c r="D260" s="6"/>
      <c r="E260" s="7"/>
    </row>
    <row r="261" spans="1:5" ht="12.75">
      <c r="A261" s="7"/>
      <c r="B261" s="6"/>
      <c r="C261" s="6"/>
      <c r="D261" s="6"/>
      <c r="E261" s="7"/>
    </row>
    <row r="262" spans="1:5" ht="12.75">
      <c r="A262" s="7"/>
      <c r="B262" s="6"/>
      <c r="C262" s="6"/>
      <c r="D262" s="6"/>
      <c r="E262" s="7"/>
    </row>
    <row r="263" spans="1:5" ht="12.75">
      <c r="A263" s="7"/>
      <c r="B263" s="6"/>
      <c r="C263" s="6"/>
      <c r="D263" s="6"/>
      <c r="E263" s="7"/>
    </row>
    <row r="264" spans="1:5" ht="12.75">
      <c r="A264" s="7"/>
      <c r="B264" s="6"/>
      <c r="C264" s="6"/>
      <c r="D264" s="6"/>
      <c r="E264" s="7"/>
    </row>
    <row r="265" spans="1:5" ht="12.75">
      <c r="A265" s="7"/>
      <c r="B265" s="6"/>
      <c r="C265" s="6"/>
      <c r="D265" s="6"/>
      <c r="E265" s="7"/>
    </row>
    <row r="266" spans="1:5" ht="12.75">
      <c r="A266" s="7"/>
      <c r="B266" s="6"/>
      <c r="C266" s="6"/>
      <c r="D266" s="6"/>
      <c r="E266" s="7"/>
    </row>
    <row r="267" spans="1:5" ht="12.75">
      <c r="A267" s="7"/>
      <c r="B267" s="6"/>
      <c r="C267" s="6"/>
      <c r="D267" s="6"/>
      <c r="E267" s="7"/>
    </row>
    <row r="268" spans="1:5" ht="12.75">
      <c r="A268" s="7"/>
      <c r="B268" s="6"/>
      <c r="C268" s="6"/>
      <c r="D268" s="6"/>
      <c r="E268" s="7"/>
    </row>
    <row r="269" spans="1:5" ht="12.75">
      <c r="A269" s="7"/>
      <c r="B269" s="6"/>
      <c r="C269" s="6"/>
      <c r="D269" s="6"/>
      <c r="E269" s="7"/>
    </row>
    <row r="270" spans="1:5" ht="12.75">
      <c r="A270" s="7"/>
      <c r="B270" s="6"/>
      <c r="C270" s="6"/>
      <c r="D270" s="6"/>
      <c r="E270" s="7"/>
    </row>
    <row r="271" spans="1:5" ht="12.75">
      <c r="A271" s="7"/>
      <c r="B271" s="6"/>
      <c r="C271" s="6"/>
      <c r="D271" s="6"/>
      <c r="E271" s="7"/>
    </row>
    <row r="272" spans="1:5" ht="12.75">
      <c r="A272" s="7"/>
      <c r="B272" s="6"/>
      <c r="C272" s="6"/>
      <c r="D272" s="6"/>
      <c r="E272" s="7"/>
    </row>
    <row r="273" spans="1:5" ht="12.75">
      <c r="A273" s="7"/>
      <c r="B273" s="6"/>
      <c r="C273" s="6"/>
      <c r="D273" s="6"/>
      <c r="E273" s="7"/>
    </row>
    <row r="274" spans="1:5" ht="12.75">
      <c r="A274" s="7"/>
      <c r="B274" s="6"/>
      <c r="C274" s="6"/>
      <c r="D274" s="6"/>
      <c r="E274" s="7"/>
    </row>
    <row r="275" spans="1:5" ht="12.75">
      <c r="A275" s="7"/>
      <c r="B275" s="6"/>
      <c r="C275" s="6"/>
      <c r="D275" s="6"/>
      <c r="E275" s="7"/>
    </row>
    <row r="276" spans="1:5" ht="12.75">
      <c r="A276" s="7"/>
      <c r="B276" s="6"/>
      <c r="C276" s="6"/>
      <c r="D276" s="6"/>
      <c r="E276" s="7"/>
    </row>
    <row r="277" spans="1:5" ht="12.75">
      <c r="A277" s="7"/>
      <c r="B277" s="6"/>
      <c r="C277" s="6"/>
      <c r="D277" s="6"/>
      <c r="E277" s="7"/>
    </row>
    <row r="278" spans="1:5" ht="12.75">
      <c r="A278" s="7"/>
      <c r="B278" s="6"/>
      <c r="C278" s="6"/>
      <c r="D278" s="6"/>
      <c r="E278" s="7"/>
    </row>
    <row r="279" spans="1:5" ht="12.75">
      <c r="A279" s="7"/>
      <c r="B279" s="6"/>
      <c r="C279" s="6"/>
      <c r="D279" s="6"/>
      <c r="E279" s="7"/>
    </row>
    <row r="280" spans="1:5" ht="12.75">
      <c r="A280" s="7"/>
      <c r="B280" s="6"/>
      <c r="C280" s="6"/>
      <c r="D280" s="6"/>
      <c r="E280" s="7"/>
    </row>
    <row r="281" spans="1:5" ht="12.75">
      <c r="A281" s="7"/>
      <c r="B281" s="6"/>
      <c r="C281" s="6"/>
      <c r="D281" s="6"/>
      <c r="E281" s="7"/>
    </row>
    <row r="282" spans="1:5" ht="12.75">
      <c r="A282" s="7"/>
      <c r="B282" s="6"/>
      <c r="C282" s="6"/>
      <c r="D282" s="6"/>
      <c r="E282" s="7"/>
    </row>
    <row r="283" spans="1:5" ht="12.75">
      <c r="A283" s="7"/>
      <c r="B283" s="6"/>
      <c r="C283" s="6"/>
      <c r="D283" s="6"/>
      <c r="E283" s="7"/>
    </row>
    <row r="284" spans="1:5" ht="12.75">
      <c r="A284" s="7"/>
      <c r="B284" s="6"/>
      <c r="C284" s="6"/>
      <c r="D284" s="6"/>
      <c r="E284" s="7"/>
    </row>
    <row r="285" spans="1:5" ht="12.75">
      <c r="A285" s="7"/>
      <c r="B285" s="6"/>
      <c r="C285" s="6"/>
      <c r="D285" s="6"/>
      <c r="E285" s="7"/>
    </row>
    <row r="286" spans="1:5" ht="12.75">
      <c r="A286" s="7"/>
      <c r="B286" s="6"/>
      <c r="C286" s="6"/>
      <c r="D286" s="6"/>
      <c r="E286" s="7"/>
    </row>
    <row r="287" spans="1:5" ht="12.75">
      <c r="A287" s="7"/>
      <c r="B287" s="6"/>
      <c r="C287" s="6"/>
      <c r="D287" s="6"/>
      <c r="E287" s="7"/>
    </row>
    <row r="288" spans="1:5" ht="12.75">
      <c r="A288" s="7"/>
      <c r="B288" s="6"/>
      <c r="C288" s="6"/>
      <c r="D288" s="6"/>
      <c r="E288" s="7"/>
    </row>
    <row r="289" spans="1:5" ht="12.75">
      <c r="A289" s="7"/>
      <c r="B289" s="6"/>
      <c r="C289" s="6"/>
      <c r="D289" s="6"/>
      <c r="E289" s="7"/>
    </row>
    <row r="290" spans="1:5" ht="12.75">
      <c r="A290" s="7"/>
      <c r="B290" s="6"/>
      <c r="C290" s="6"/>
      <c r="D290" s="6"/>
      <c r="E290" s="7"/>
    </row>
    <row r="291" spans="1:5" ht="12.75">
      <c r="A291" s="7"/>
      <c r="B291" s="6"/>
      <c r="C291" s="6"/>
      <c r="D291" s="6"/>
      <c r="E291" s="7"/>
    </row>
    <row r="292" spans="1:5" ht="12.75">
      <c r="A292" s="7"/>
      <c r="B292" s="6"/>
      <c r="C292" s="6"/>
      <c r="D292" s="6"/>
      <c r="E292" s="7"/>
    </row>
    <row r="293" spans="1:5" ht="12.75">
      <c r="A293" s="7"/>
      <c r="B293" s="6"/>
      <c r="C293" s="6"/>
      <c r="D293" s="6"/>
      <c r="E293" s="7"/>
    </row>
    <row r="294" spans="1:5" ht="12.75">
      <c r="A294" s="7"/>
      <c r="B294" s="6"/>
      <c r="C294" s="6"/>
      <c r="D294" s="6"/>
      <c r="E294" s="7"/>
    </row>
    <row r="295" spans="1:5" ht="12.75">
      <c r="A295" s="7"/>
      <c r="B295" s="6"/>
      <c r="C295" s="6"/>
      <c r="D295" s="6"/>
      <c r="E295" s="7"/>
    </row>
    <row r="296" spans="1:5" ht="12.75">
      <c r="A296" s="7"/>
      <c r="B296" s="6"/>
      <c r="C296" s="6"/>
      <c r="D296" s="6"/>
      <c r="E296" s="7"/>
    </row>
    <row r="297" spans="1:5" ht="12.75">
      <c r="A297" s="7"/>
      <c r="B297" s="6"/>
      <c r="C297" s="6"/>
      <c r="D297" s="6"/>
      <c r="E297" s="7"/>
    </row>
    <row r="298" spans="1:5" ht="12.75">
      <c r="A298" s="7"/>
      <c r="B298" s="6"/>
      <c r="C298" s="6"/>
      <c r="D298" s="6"/>
      <c r="E298" s="7"/>
    </row>
    <row r="299" spans="1:5" ht="12.75">
      <c r="A299" s="7"/>
      <c r="B299" s="6"/>
      <c r="C299" s="6"/>
      <c r="D299" s="6"/>
      <c r="E299" s="7"/>
    </row>
    <row r="300" spans="1:5" ht="12.75">
      <c r="A300" s="7"/>
      <c r="B300" s="6"/>
      <c r="C300" s="6"/>
      <c r="D300" s="6"/>
      <c r="E300" s="7"/>
    </row>
    <row r="301" spans="1:5" ht="12.75">
      <c r="A301" s="7"/>
      <c r="B301" s="6"/>
      <c r="C301" s="6"/>
      <c r="D301" s="6"/>
      <c r="E301" s="7"/>
    </row>
    <row r="302" spans="1:5" ht="12.75">
      <c r="A302" s="7"/>
      <c r="B302" s="6"/>
      <c r="C302" s="6"/>
      <c r="D302" s="6"/>
      <c r="E302" s="7"/>
    </row>
    <row r="303" spans="1:5" ht="12.75">
      <c r="A303" s="7"/>
      <c r="B303" s="6"/>
      <c r="C303" s="6"/>
      <c r="D303" s="6"/>
      <c r="E303" s="7"/>
    </row>
    <row r="304" spans="1:5" ht="12.75">
      <c r="A304" s="7"/>
      <c r="B304" s="6"/>
      <c r="C304" s="6"/>
      <c r="D304" s="6"/>
      <c r="E304" s="7"/>
    </row>
    <row r="305" spans="1:5" ht="12.75">
      <c r="A305" s="7"/>
      <c r="B305" s="6"/>
      <c r="C305" s="6"/>
      <c r="D305" s="6"/>
      <c r="E305" s="7"/>
    </row>
    <row r="306" spans="1:5" ht="12.75">
      <c r="A306" s="7"/>
      <c r="B306" s="6"/>
      <c r="C306" s="6"/>
      <c r="D306" s="6"/>
      <c r="E306" s="7"/>
    </row>
    <row r="307" spans="1:5" ht="12.75">
      <c r="A307" s="7"/>
      <c r="B307" s="6"/>
      <c r="C307" s="6"/>
      <c r="D307" s="6"/>
      <c r="E307" s="7"/>
    </row>
    <row r="308" spans="1:5" ht="12.75">
      <c r="A308" s="7"/>
      <c r="B308" s="6"/>
      <c r="C308" s="6"/>
      <c r="D308" s="6"/>
      <c r="E308" s="7"/>
    </row>
    <row r="309" spans="1:5" ht="12.75">
      <c r="A309" s="7"/>
      <c r="B309" s="6"/>
      <c r="C309" s="6"/>
      <c r="D309" s="6"/>
      <c r="E309" s="7"/>
    </row>
    <row r="310" spans="1:5" ht="12.75">
      <c r="A310" s="7"/>
      <c r="B310" s="6"/>
      <c r="C310" s="6"/>
      <c r="D310" s="6"/>
      <c r="E310" s="7"/>
    </row>
    <row r="311" spans="1:5" ht="12.75">
      <c r="A311" s="7"/>
      <c r="B311" s="6"/>
      <c r="C311" s="6"/>
      <c r="D311" s="6"/>
      <c r="E311" s="7"/>
    </row>
    <row r="312" spans="1:5" ht="12.75">
      <c r="A312" s="7"/>
      <c r="B312" s="6"/>
      <c r="C312" s="6"/>
      <c r="D312" s="6"/>
      <c r="E312" s="7"/>
    </row>
    <row r="313" spans="1:5" ht="12.75">
      <c r="A313" s="7"/>
      <c r="B313" s="6"/>
      <c r="C313" s="6"/>
      <c r="D313" s="6"/>
      <c r="E313" s="7"/>
    </row>
    <row r="314" spans="1:5" ht="12.75">
      <c r="A314" s="7"/>
      <c r="B314" s="6"/>
      <c r="C314" s="6"/>
      <c r="D314" s="6"/>
      <c r="E314" s="7"/>
    </row>
    <row r="315" spans="1:5" ht="12.75">
      <c r="A315" s="7"/>
      <c r="B315" s="6"/>
      <c r="C315" s="6"/>
      <c r="D315" s="6"/>
      <c r="E315" s="7"/>
    </row>
    <row r="316" spans="1:5" ht="12.75">
      <c r="A316" s="7"/>
      <c r="B316" s="6"/>
      <c r="C316" s="6"/>
      <c r="D316" s="6"/>
      <c r="E316" s="7"/>
    </row>
    <row r="317" spans="1:5" ht="12.75">
      <c r="A317" s="7"/>
      <c r="B317" s="6"/>
      <c r="C317" s="6"/>
      <c r="D317" s="6"/>
      <c r="E317" s="7"/>
    </row>
    <row r="318" spans="1:5" ht="12.75">
      <c r="A318" s="7"/>
      <c r="B318" s="6"/>
      <c r="C318" s="6"/>
      <c r="D318" s="6"/>
      <c r="E318" s="7"/>
    </row>
    <row r="319" spans="1:5" ht="12.75">
      <c r="A319" s="7"/>
      <c r="B319" s="6"/>
      <c r="C319" s="6"/>
      <c r="D319" s="6"/>
      <c r="E319" s="7"/>
    </row>
    <row r="320" spans="1:5" ht="12.75">
      <c r="A320" s="7"/>
      <c r="B320" s="6"/>
      <c r="C320" s="6"/>
      <c r="D320" s="6"/>
      <c r="E320" s="7"/>
    </row>
    <row r="321" spans="1:5" ht="12.75">
      <c r="A321" s="7"/>
      <c r="B321" s="6"/>
      <c r="C321" s="6"/>
      <c r="D321" s="6"/>
      <c r="E321" s="7"/>
    </row>
    <row r="322" spans="1:5" ht="12.75">
      <c r="A322" s="7"/>
      <c r="B322" s="6"/>
      <c r="C322" s="6"/>
      <c r="D322" s="6"/>
      <c r="E322" s="7"/>
    </row>
    <row r="323" spans="1:5" ht="12.75">
      <c r="A323" s="7"/>
      <c r="B323" s="6"/>
      <c r="C323" s="6"/>
      <c r="D323" s="6"/>
      <c r="E323" s="7"/>
    </row>
    <row r="324" spans="1:5" ht="12.75">
      <c r="A324" s="7"/>
      <c r="B324" s="6"/>
      <c r="C324" s="6"/>
      <c r="D324" s="6"/>
      <c r="E324" s="7"/>
    </row>
    <row r="325" spans="1:5" ht="12.75">
      <c r="A325" s="7"/>
      <c r="B325" s="6"/>
      <c r="C325" s="6"/>
      <c r="D325" s="6"/>
      <c r="E325" s="7"/>
    </row>
    <row r="326" spans="1:5" ht="12.75">
      <c r="A326" s="7"/>
      <c r="B326" s="6"/>
      <c r="C326" s="6"/>
      <c r="D326" s="6"/>
      <c r="E326" s="7"/>
    </row>
    <row r="327" spans="1:5" ht="12.75">
      <c r="A327" s="7"/>
      <c r="B327" s="6"/>
      <c r="C327" s="6"/>
      <c r="D327" s="6"/>
      <c r="E327" s="7"/>
    </row>
    <row r="328" spans="1:5" ht="12.75">
      <c r="A328" s="7"/>
      <c r="B328" s="6"/>
      <c r="C328" s="6"/>
      <c r="D328" s="6"/>
      <c r="E328" s="7"/>
    </row>
    <row r="329" spans="1:5" ht="12.75">
      <c r="A329" s="7"/>
      <c r="B329" s="6"/>
      <c r="C329" s="6"/>
      <c r="D329" s="6"/>
      <c r="E329" s="7"/>
    </row>
    <row r="330" spans="1:5" ht="12.75">
      <c r="A330" s="7"/>
      <c r="B330" s="6"/>
      <c r="C330" s="6"/>
      <c r="D330" s="6"/>
      <c r="E330" s="7"/>
    </row>
    <row r="331" spans="1:5" ht="12.75">
      <c r="A331" s="7"/>
      <c r="B331" s="6"/>
      <c r="C331" s="6"/>
      <c r="D331" s="6"/>
      <c r="E331" s="7"/>
    </row>
    <row r="332" spans="1:5" ht="12.75">
      <c r="A332" s="7"/>
      <c r="B332" s="6"/>
      <c r="C332" s="6"/>
      <c r="D332" s="6"/>
      <c r="E332" s="7"/>
    </row>
    <row r="333" spans="1:5" ht="12.75">
      <c r="A333" s="7"/>
      <c r="B333" s="6"/>
      <c r="C333" s="6"/>
      <c r="D333" s="6"/>
      <c r="E333" s="7"/>
    </row>
    <row r="334" spans="1:5" ht="12.75">
      <c r="A334" s="7"/>
      <c r="B334" s="6"/>
      <c r="C334" s="6"/>
      <c r="D334" s="6"/>
      <c r="E334" s="7"/>
    </row>
    <row r="335" spans="1:5" ht="12.75">
      <c r="A335" s="7"/>
      <c r="B335" s="6"/>
      <c r="C335" s="6"/>
      <c r="D335" s="6"/>
      <c r="E335" s="7"/>
    </row>
    <row r="336" spans="1:5" ht="12.75">
      <c r="A336" s="7"/>
      <c r="B336" s="6"/>
      <c r="C336" s="6"/>
      <c r="D336" s="6"/>
      <c r="E336" s="7"/>
    </row>
    <row r="337" spans="1:5" ht="12.75">
      <c r="A337" s="7"/>
      <c r="B337" s="6"/>
      <c r="C337" s="6"/>
      <c r="D337" s="6"/>
      <c r="E337" s="7"/>
    </row>
    <row r="338" spans="1:5" ht="12.75">
      <c r="A338" s="7"/>
      <c r="B338" s="6"/>
      <c r="C338" s="6"/>
      <c r="D338" s="6"/>
      <c r="E338" s="7"/>
    </row>
    <row r="339" spans="1:5" ht="12.75">
      <c r="A339" s="7"/>
      <c r="B339" s="6"/>
      <c r="C339" s="6"/>
      <c r="D339" s="6"/>
      <c r="E339" s="7"/>
    </row>
    <row r="340" spans="1:5" ht="12.75">
      <c r="A340" s="7"/>
      <c r="B340" s="6"/>
      <c r="C340" s="6"/>
      <c r="D340" s="6"/>
      <c r="E340" s="7"/>
    </row>
    <row r="341" spans="1:5" ht="12.75">
      <c r="A341" s="7"/>
      <c r="B341" s="6"/>
      <c r="C341" s="6"/>
      <c r="D341" s="6"/>
      <c r="E341" s="7"/>
    </row>
    <row r="342" spans="1:5" ht="12.75">
      <c r="A342" s="7"/>
      <c r="B342" s="6"/>
      <c r="C342" s="6"/>
      <c r="D342" s="6"/>
      <c r="E342" s="7"/>
    </row>
    <row r="343" spans="1:5" ht="12.75">
      <c r="A343" s="7"/>
      <c r="B343" s="6"/>
      <c r="C343" s="6"/>
      <c r="D343" s="6"/>
      <c r="E343" s="7"/>
    </row>
    <row r="344" spans="1:5" ht="12.75">
      <c r="A344" s="7"/>
      <c r="B344" s="6"/>
      <c r="C344" s="6"/>
      <c r="D344" s="6"/>
      <c r="E344" s="7"/>
    </row>
    <row r="345" spans="1:5" ht="12.75">
      <c r="A345" s="7"/>
      <c r="B345" s="6"/>
      <c r="C345" s="6"/>
      <c r="D345" s="6"/>
      <c r="E345" s="7"/>
    </row>
    <row r="346" spans="1:5" ht="12.75">
      <c r="A346" s="7"/>
      <c r="B346" s="6"/>
      <c r="C346" s="6"/>
      <c r="D346" s="6"/>
      <c r="E346" s="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Marvel Super Heroes hero creator v 1.0</dc:title>
  <dc:subject>MSH RPG</dc:subject>
  <dc:creator>Aki Neuvonen / aaglo</dc:creator>
  <cp:keywords/>
  <dc:description>All sheets are locked without password.
You may freely edit and distribute this workbook.</dc:description>
  <cp:lastModifiedBy>Aki Neuvonen</cp:lastModifiedBy>
  <cp:lastPrinted>2011-03-29T06:03:41Z</cp:lastPrinted>
  <dcterms:created xsi:type="dcterms:W3CDTF">2011-03-10T11:59:52Z</dcterms:created>
  <dcterms:modified xsi:type="dcterms:W3CDTF">2011-03-29T08:00:09Z</dcterms:modified>
  <cp:category>Fun &amp; Games</cp:category>
  <cp:version/>
  <cp:contentType/>
  <cp:contentStatus/>
</cp:coreProperties>
</file>